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c2b7b83cbd786615/เอกสาร/แผนที่ใช้กับโครงการโซล่าเซลล์/"/>
    </mc:Choice>
  </mc:AlternateContent>
  <xr:revisionPtr revIDLastSave="5" documentId="8_{F753FFFF-849F-48D1-9EE4-270CB9898A7C}" xr6:coauthVersionLast="47" xr6:coauthVersionMax="47" xr10:uidLastSave="{B3113BF0-E4F9-45D1-A7FA-23E906A43AB2}"/>
  <bookViews>
    <workbookView xWindow="-120" yWindow="-120" windowWidth="29040" windowHeight="15720" tabRatio="854" xr2:uid="{00000000-000D-0000-FFFF-FFFF00000000}"/>
  </bookViews>
  <sheets>
    <sheet name="ภาพรวม" sheetId="12" r:id="rId1"/>
    <sheet name="มทร.เชียงใหม่" sheetId="25" r:id="rId2"/>
    <sheet name="มทร.เชียงราย" sheetId="13" r:id="rId3"/>
    <sheet name="มทร.ดอยสะเก็ด" sheetId="26" r:id="rId4"/>
    <sheet name="มทร.ตาก1" sheetId="27" r:id="rId5"/>
    <sheet name="มทร.ตาก2" sheetId="28" r:id="rId6"/>
    <sheet name="มทร.ตาก3" sheetId="29" r:id="rId7"/>
    <sheet name="มทร.น่าน" sheetId="30" r:id="rId8"/>
    <sheet name="มทร.พิษณุโลก" sheetId="31" r:id="rId9"/>
    <sheet name="มทร.ภาคพายัพ เชียงใหม่" sheetId="32" r:id="rId10"/>
    <sheet name="มทร.ภาคพายัพ เจ็ดยอด" sheetId="33" r:id="rId11"/>
    <sheet name="มทร.ลำปาง" sheetId="3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7" i="12" l="1"/>
  <c r="C102" i="12"/>
  <c r="D102" i="12"/>
  <c r="E102" i="12"/>
  <c r="J122" i="12"/>
  <c r="K122" i="12"/>
  <c r="D121" i="12"/>
  <c r="C96" i="12"/>
  <c r="B96" i="12"/>
  <c r="B122" i="12" s="1"/>
  <c r="C101" i="12"/>
  <c r="D101" i="12" s="1"/>
  <c r="E101" i="12" s="1"/>
  <c r="F101" i="12" s="1"/>
  <c r="G101" i="12" s="1"/>
  <c r="H101" i="12" s="1"/>
  <c r="I101" i="12" s="1"/>
  <c r="J101" i="12" s="1"/>
  <c r="K101" i="12" s="1"/>
  <c r="L101" i="12" s="1"/>
  <c r="M101" i="12" s="1"/>
  <c r="N101" i="12" s="1"/>
  <c r="O101" i="12" s="1"/>
  <c r="P101" i="12" s="1"/>
  <c r="Q101" i="12" s="1"/>
  <c r="R101" i="12" s="1"/>
  <c r="S101" i="12" s="1"/>
  <c r="T101" i="12" s="1"/>
  <c r="U101" i="12" s="1"/>
  <c r="V101" i="12" s="1"/>
  <c r="V102" i="12" s="1"/>
  <c r="B101" i="12"/>
  <c r="B102" i="12" s="1"/>
  <c r="B58" i="12"/>
  <c r="B59" i="12"/>
  <c r="B57" i="12"/>
  <c r="B65" i="12"/>
  <c r="B63" i="12"/>
  <c r="B55" i="12"/>
  <c r="W116" i="12"/>
  <c r="W117" i="12"/>
  <c r="V111" i="12"/>
  <c r="U111" i="12"/>
  <c r="T111" i="12"/>
  <c r="S111" i="12"/>
  <c r="R111" i="12"/>
  <c r="Q111" i="12"/>
  <c r="P111" i="12"/>
  <c r="O111" i="12"/>
  <c r="N111" i="12"/>
  <c r="M111" i="12"/>
  <c r="L111" i="12"/>
  <c r="K111" i="12"/>
  <c r="J111" i="12"/>
  <c r="I111" i="12"/>
  <c r="H111" i="12"/>
  <c r="G111" i="12"/>
  <c r="F111" i="12"/>
  <c r="E111" i="12"/>
  <c r="D111" i="12"/>
  <c r="C111" i="12"/>
  <c r="V120" i="12"/>
  <c r="U120" i="12"/>
  <c r="T120" i="12"/>
  <c r="S120" i="12"/>
  <c r="R120" i="12"/>
  <c r="Q120" i="12"/>
  <c r="P120" i="12"/>
  <c r="O120" i="12"/>
  <c r="N120" i="12"/>
  <c r="M120" i="12"/>
  <c r="L120" i="12"/>
  <c r="K120" i="12"/>
  <c r="J120" i="12"/>
  <c r="I120" i="12"/>
  <c r="H120" i="12"/>
  <c r="G120" i="12"/>
  <c r="F120" i="12"/>
  <c r="E120" i="12"/>
  <c r="C119" i="12"/>
  <c r="V118" i="12"/>
  <c r="U118" i="12"/>
  <c r="T118" i="12"/>
  <c r="S118" i="12"/>
  <c r="R118" i="12"/>
  <c r="Q118" i="12"/>
  <c r="P118" i="12"/>
  <c r="O118" i="12"/>
  <c r="N118" i="12"/>
  <c r="M118" i="12"/>
  <c r="L118" i="12"/>
  <c r="K118" i="12"/>
  <c r="J118" i="12"/>
  <c r="I118" i="12"/>
  <c r="H118" i="12"/>
  <c r="G118" i="12"/>
  <c r="F118" i="12"/>
  <c r="E118" i="12"/>
  <c r="D118" i="12"/>
  <c r="C118" i="12"/>
  <c r="B118" i="12"/>
  <c r="B123" i="12" s="1"/>
  <c r="B124" i="12" s="1"/>
  <c r="W115" i="12"/>
  <c r="B15" i="12"/>
  <c r="B20" i="12" s="1"/>
  <c r="B103" i="12" l="1"/>
  <c r="B105" i="12" s="1"/>
  <c r="T102" i="12"/>
  <c r="U102" i="12"/>
  <c r="P102" i="12"/>
  <c r="S102" i="12"/>
  <c r="Q102" i="12"/>
  <c r="N102" i="12"/>
  <c r="M102" i="12"/>
  <c r="K102" i="12"/>
  <c r="O102" i="12"/>
  <c r="L102" i="12"/>
  <c r="J102" i="12"/>
  <c r="R102" i="12"/>
  <c r="I102" i="12"/>
  <c r="H102" i="12"/>
  <c r="G102" i="12"/>
  <c r="F102" i="12"/>
  <c r="C122" i="12"/>
  <c r="C123" i="12" s="1"/>
  <c r="B69" i="12"/>
  <c r="E121" i="12"/>
  <c r="F121" i="12" s="1"/>
  <c r="G121" i="12" s="1"/>
  <c r="H121" i="12" s="1"/>
  <c r="I121" i="12" s="1"/>
  <c r="J121" i="12" s="1"/>
  <c r="K121" i="12" s="1"/>
  <c r="L121" i="12" s="1"/>
  <c r="M121" i="12" s="1"/>
  <c r="N121" i="12" s="1"/>
  <c r="O121" i="12" s="1"/>
  <c r="P121" i="12" s="1"/>
  <c r="Q121" i="12" s="1"/>
  <c r="R121" i="12" s="1"/>
  <c r="S121" i="12" s="1"/>
  <c r="T121" i="12" s="1"/>
  <c r="U121" i="12" s="1"/>
  <c r="V121" i="12" s="1"/>
  <c r="W101" i="12"/>
  <c r="B126" i="12"/>
  <c r="W113" i="12"/>
  <c r="W111" i="12"/>
  <c r="D119" i="12"/>
  <c r="W121" i="12" l="1"/>
  <c r="E119" i="12"/>
  <c r="B45" i="12"/>
  <c r="B4" i="34"/>
  <c r="B32" i="34"/>
  <c r="B29" i="34"/>
  <c r="E28" i="34"/>
  <c r="F28" i="34" s="1"/>
  <c r="G28" i="34" s="1"/>
  <c r="H28" i="34" s="1"/>
  <c r="I28" i="34" s="1"/>
  <c r="J28" i="34" s="1"/>
  <c r="K28" i="34" s="1"/>
  <c r="L28" i="34" s="1"/>
  <c r="M28" i="34" s="1"/>
  <c r="N28" i="34" s="1"/>
  <c r="O28" i="34" s="1"/>
  <c r="P28" i="34" s="1"/>
  <c r="Q28" i="34" s="1"/>
  <c r="R28" i="34" s="1"/>
  <c r="S28" i="34" s="1"/>
  <c r="T28" i="34" s="1"/>
  <c r="U28" i="34" s="1"/>
  <c r="V28" i="34" s="1"/>
  <c r="W27" i="34"/>
  <c r="W26" i="34"/>
  <c r="B26" i="34"/>
  <c r="W25" i="34"/>
  <c r="B24" i="34"/>
  <c r="E30" i="34" s="1"/>
  <c r="F30" i="34" s="1"/>
  <c r="F9" i="34"/>
  <c r="F7" i="34"/>
  <c r="B4" i="33"/>
  <c r="B32" i="33"/>
  <c r="B29" i="33"/>
  <c r="E28" i="33"/>
  <c r="F28" i="33" s="1"/>
  <c r="G28" i="33" s="1"/>
  <c r="H28" i="33" s="1"/>
  <c r="I28" i="33" s="1"/>
  <c r="J28" i="33" s="1"/>
  <c r="K28" i="33" s="1"/>
  <c r="L28" i="33" s="1"/>
  <c r="M28" i="33" s="1"/>
  <c r="N28" i="33" s="1"/>
  <c r="O28" i="33" s="1"/>
  <c r="P28" i="33" s="1"/>
  <c r="Q28" i="33" s="1"/>
  <c r="R28" i="33" s="1"/>
  <c r="S28" i="33" s="1"/>
  <c r="T28" i="33" s="1"/>
  <c r="U28" i="33" s="1"/>
  <c r="V28" i="33" s="1"/>
  <c r="W27" i="33"/>
  <c r="W26" i="33"/>
  <c r="B26" i="33"/>
  <c r="W25" i="33"/>
  <c r="B24" i="33"/>
  <c r="E30" i="33" s="1"/>
  <c r="F30" i="33" s="1"/>
  <c r="G30" i="33" s="1"/>
  <c r="H30" i="33" s="1"/>
  <c r="I30" i="33" s="1"/>
  <c r="J30" i="33" s="1"/>
  <c r="K30" i="33" s="1"/>
  <c r="L30" i="33" s="1"/>
  <c r="M30" i="33" s="1"/>
  <c r="N30" i="33" s="1"/>
  <c r="O30" i="33" s="1"/>
  <c r="P30" i="33" s="1"/>
  <c r="Q30" i="33" s="1"/>
  <c r="R30" i="33" s="1"/>
  <c r="S30" i="33" s="1"/>
  <c r="T30" i="33" s="1"/>
  <c r="U30" i="33" s="1"/>
  <c r="V30" i="33" s="1"/>
  <c r="F9" i="33"/>
  <c r="F7" i="33"/>
  <c r="B4" i="32"/>
  <c r="B32" i="32"/>
  <c r="B29" i="32"/>
  <c r="E28" i="32"/>
  <c r="F28" i="32" s="1"/>
  <c r="W27" i="32"/>
  <c r="W26" i="32"/>
  <c r="B26" i="32"/>
  <c r="W25" i="32"/>
  <c r="B24" i="32"/>
  <c r="W24" i="32" s="1"/>
  <c r="F9" i="32"/>
  <c r="F7" i="32"/>
  <c r="B4" i="31"/>
  <c r="R23" i="31" s="1"/>
  <c r="B32" i="31"/>
  <c r="B29" i="31"/>
  <c r="E28" i="31"/>
  <c r="F28" i="31" s="1"/>
  <c r="G28" i="31" s="1"/>
  <c r="H28" i="31" s="1"/>
  <c r="I28" i="31" s="1"/>
  <c r="J28" i="31" s="1"/>
  <c r="K28" i="31" s="1"/>
  <c r="L28" i="31" s="1"/>
  <c r="M28" i="31" s="1"/>
  <c r="N28" i="31" s="1"/>
  <c r="O28" i="31" s="1"/>
  <c r="P28" i="31" s="1"/>
  <c r="Q28" i="31" s="1"/>
  <c r="R28" i="31" s="1"/>
  <c r="S28" i="31" s="1"/>
  <c r="T28" i="31" s="1"/>
  <c r="U28" i="31" s="1"/>
  <c r="V28" i="31" s="1"/>
  <c r="W27" i="31"/>
  <c r="W26" i="31"/>
  <c r="B26" i="31"/>
  <c r="W25" i="31"/>
  <c r="B24" i="31"/>
  <c r="E30" i="31" s="1"/>
  <c r="F9" i="31"/>
  <c r="F7" i="31"/>
  <c r="Q23" i="31" s="1"/>
  <c r="B4" i="30"/>
  <c r="B32" i="30"/>
  <c r="B29" i="30"/>
  <c r="E28" i="30"/>
  <c r="W27" i="30"/>
  <c r="W26" i="30"/>
  <c r="B26" i="30"/>
  <c r="W25" i="30"/>
  <c r="B24" i="30"/>
  <c r="W24" i="30" s="1"/>
  <c r="F9" i="30"/>
  <c r="F7" i="30"/>
  <c r="B4" i="29"/>
  <c r="B32" i="29"/>
  <c r="B29" i="29"/>
  <c r="E28" i="29"/>
  <c r="W27" i="29"/>
  <c r="W26" i="29"/>
  <c r="B26" i="29"/>
  <c r="W25" i="29"/>
  <c r="B24" i="29"/>
  <c r="E30" i="29" s="1"/>
  <c r="F9" i="29"/>
  <c r="F7" i="29"/>
  <c r="B4" i="28"/>
  <c r="B32" i="28"/>
  <c r="B29" i="28"/>
  <c r="E28" i="28"/>
  <c r="F28" i="28" s="1"/>
  <c r="G28" i="28" s="1"/>
  <c r="H28" i="28" s="1"/>
  <c r="I28" i="28" s="1"/>
  <c r="J28" i="28" s="1"/>
  <c r="K28" i="28" s="1"/>
  <c r="L28" i="28" s="1"/>
  <c r="M28" i="28" s="1"/>
  <c r="N28" i="28" s="1"/>
  <c r="O28" i="28" s="1"/>
  <c r="P28" i="28" s="1"/>
  <c r="Q28" i="28" s="1"/>
  <c r="R28" i="28" s="1"/>
  <c r="S28" i="28" s="1"/>
  <c r="T28" i="28" s="1"/>
  <c r="U28" i="28" s="1"/>
  <c r="V28" i="28" s="1"/>
  <c r="W27" i="28"/>
  <c r="W26" i="28"/>
  <c r="B26" i="28"/>
  <c r="W25" i="28"/>
  <c r="B24" i="28"/>
  <c r="W24" i="28" s="1"/>
  <c r="F9" i="28"/>
  <c r="F7" i="28"/>
  <c r="B4" i="27"/>
  <c r="S23" i="27" s="1"/>
  <c r="B32" i="27"/>
  <c r="B29" i="27"/>
  <c r="E28" i="27"/>
  <c r="F28" i="27" s="1"/>
  <c r="G28" i="27" s="1"/>
  <c r="H28" i="27" s="1"/>
  <c r="I28" i="27" s="1"/>
  <c r="J28" i="27" s="1"/>
  <c r="K28" i="27" s="1"/>
  <c r="L28" i="27" s="1"/>
  <c r="M28" i="27" s="1"/>
  <c r="N28" i="27" s="1"/>
  <c r="O28" i="27" s="1"/>
  <c r="P28" i="27" s="1"/>
  <c r="Q28" i="27" s="1"/>
  <c r="R28" i="27" s="1"/>
  <c r="S28" i="27" s="1"/>
  <c r="T28" i="27" s="1"/>
  <c r="U28" i="27" s="1"/>
  <c r="V28" i="27" s="1"/>
  <c r="W27" i="27"/>
  <c r="W26" i="27"/>
  <c r="B26" i="27"/>
  <c r="W25" i="27"/>
  <c r="B24" i="27"/>
  <c r="E30" i="27" s="1"/>
  <c r="C23" i="27"/>
  <c r="F9" i="27"/>
  <c r="F7" i="27"/>
  <c r="B4" i="26"/>
  <c r="B32" i="26"/>
  <c r="B29" i="26"/>
  <c r="E28" i="26"/>
  <c r="W27" i="26"/>
  <c r="W26" i="26"/>
  <c r="B26" i="26"/>
  <c r="W25" i="26"/>
  <c r="B24" i="26"/>
  <c r="E30" i="26" s="1"/>
  <c r="F9" i="26"/>
  <c r="F7" i="26"/>
  <c r="R23" i="26" s="1"/>
  <c r="F119" i="12" l="1"/>
  <c r="W24" i="29"/>
  <c r="R23" i="30"/>
  <c r="O23" i="33"/>
  <c r="W24" i="26"/>
  <c r="Q23" i="28"/>
  <c r="R23" i="27"/>
  <c r="P23" i="34"/>
  <c r="W24" i="34"/>
  <c r="P23" i="33"/>
  <c r="S23" i="33"/>
  <c r="G23" i="33"/>
  <c r="Q23" i="32"/>
  <c r="O23" i="31"/>
  <c r="C23" i="30"/>
  <c r="K23" i="30"/>
  <c r="C23" i="29"/>
  <c r="P23" i="28"/>
  <c r="O23" i="28"/>
  <c r="F23" i="28"/>
  <c r="V23" i="28"/>
  <c r="V29" i="28" s="1"/>
  <c r="C23" i="26"/>
  <c r="K23" i="26"/>
  <c r="S23" i="26"/>
  <c r="I23" i="26"/>
  <c r="O23" i="34"/>
  <c r="I23" i="34"/>
  <c r="W28" i="34"/>
  <c r="G30" i="34"/>
  <c r="H30" i="34" s="1"/>
  <c r="I30" i="34" s="1"/>
  <c r="J30" i="34" s="1"/>
  <c r="K30" i="34" s="1"/>
  <c r="L30" i="34" s="1"/>
  <c r="M30" i="34" s="1"/>
  <c r="N30" i="34" s="1"/>
  <c r="O30" i="34" s="1"/>
  <c r="P30" i="34" s="1"/>
  <c r="Q30" i="34" s="1"/>
  <c r="R30" i="34" s="1"/>
  <c r="S30" i="34" s="1"/>
  <c r="T30" i="34" s="1"/>
  <c r="U30" i="34" s="1"/>
  <c r="V30" i="34" s="1"/>
  <c r="J23" i="34"/>
  <c r="R23" i="34"/>
  <c r="Q23" i="34"/>
  <c r="C23" i="34"/>
  <c r="K23" i="34"/>
  <c r="S23" i="34"/>
  <c r="D23" i="34"/>
  <c r="L23" i="34"/>
  <c r="T23" i="34"/>
  <c r="E23" i="34"/>
  <c r="M23" i="34"/>
  <c r="U23" i="34"/>
  <c r="F23" i="34"/>
  <c r="N23" i="34"/>
  <c r="V23" i="34"/>
  <c r="G23" i="34"/>
  <c r="H23" i="34"/>
  <c r="I29" i="34"/>
  <c r="W24" i="33"/>
  <c r="P29" i="33"/>
  <c r="W28" i="33"/>
  <c r="S29" i="33"/>
  <c r="Q23" i="33"/>
  <c r="W30" i="33"/>
  <c r="J23" i="33"/>
  <c r="R23" i="33"/>
  <c r="I23" i="33"/>
  <c r="K23" i="33"/>
  <c r="D23" i="33"/>
  <c r="L23" i="33"/>
  <c r="T23" i="33"/>
  <c r="C23" i="33"/>
  <c r="E23" i="33"/>
  <c r="M23" i="33"/>
  <c r="U23" i="33"/>
  <c r="F23" i="33"/>
  <c r="N23" i="33"/>
  <c r="V23" i="33"/>
  <c r="G29" i="33"/>
  <c r="O29" i="33"/>
  <c r="H23" i="33"/>
  <c r="G28" i="32"/>
  <c r="H28" i="32" s="1"/>
  <c r="I28" i="32" s="1"/>
  <c r="J28" i="32" s="1"/>
  <c r="K28" i="32" s="1"/>
  <c r="L28" i="32" s="1"/>
  <c r="M28" i="32" s="1"/>
  <c r="N28" i="32" s="1"/>
  <c r="O28" i="32" s="1"/>
  <c r="P28" i="32" s="1"/>
  <c r="Q28" i="32" s="1"/>
  <c r="R28" i="32" s="1"/>
  <c r="S28" i="32" s="1"/>
  <c r="T28" i="32" s="1"/>
  <c r="U28" i="32" s="1"/>
  <c r="V28" i="32" s="1"/>
  <c r="Q29" i="32"/>
  <c r="K23" i="32"/>
  <c r="D23" i="32"/>
  <c r="L23" i="32"/>
  <c r="T23" i="32"/>
  <c r="J23" i="32"/>
  <c r="R23" i="32"/>
  <c r="E23" i="32"/>
  <c r="M23" i="32"/>
  <c r="U23" i="32"/>
  <c r="F23" i="32"/>
  <c r="N23" i="32"/>
  <c r="V23" i="32"/>
  <c r="C23" i="32"/>
  <c r="S23" i="32"/>
  <c r="G23" i="32"/>
  <c r="O23" i="32"/>
  <c r="E30" i="32"/>
  <c r="H23" i="32"/>
  <c r="P23" i="32"/>
  <c r="I23" i="32"/>
  <c r="W24" i="31"/>
  <c r="S23" i="31"/>
  <c r="I23" i="31"/>
  <c r="G23" i="31"/>
  <c r="W28" i="31"/>
  <c r="R29" i="31"/>
  <c r="D23" i="31"/>
  <c r="L23" i="31"/>
  <c r="T23" i="31"/>
  <c r="K23" i="31"/>
  <c r="E23" i="31"/>
  <c r="M23" i="31"/>
  <c r="U23" i="31"/>
  <c r="C23" i="31"/>
  <c r="F23" i="31"/>
  <c r="N23" i="31"/>
  <c r="V23" i="31"/>
  <c r="O29" i="31"/>
  <c r="H23" i="31"/>
  <c r="P23" i="31"/>
  <c r="Q29" i="31"/>
  <c r="F30" i="31"/>
  <c r="G30" i="31" s="1"/>
  <c r="H30" i="31" s="1"/>
  <c r="I30" i="31" s="1"/>
  <c r="J30" i="31" s="1"/>
  <c r="K30" i="31" s="1"/>
  <c r="L30" i="31" s="1"/>
  <c r="M30" i="31" s="1"/>
  <c r="N30" i="31" s="1"/>
  <c r="O30" i="31" s="1"/>
  <c r="P30" i="31" s="1"/>
  <c r="Q30" i="31" s="1"/>
  <c r="R30" i="31" s="1"/>
  <c r="S30" i="31" s="1"/>
  <c r="T30" i="31" s="1"/>
  <c r="U30" i="31" s="1"/>
  <c r="V30" i="31" s="1"/>
  <c r="J23" i="31"/>
  <c r="S23" i="30"/>
  <c r="R29" i="30"/>
  <c r="D23" i="30"/>
  <c r="L23" i="30"/>
  <c r="T23" i="30"/>
  <c r="E23" i="30"/>
  <c r="M23" i="30"/>
  <c r="U23" i="30"/>
  <c r="F23" i="30"/>
  <c r="N23" i="30"/>
  <c r="V23" i="30"/>
  <c r="G23" i="30"/>
  <c r="O23" i="30"/>
  <c r="F28" i="30"/>
  <c r="G28" i="30" s="1"/>
  <c r="H28" i="30" s="1"/>
  <c r="I28" i="30" s="1"/>
  <c r="J28" i="30" s="1"/>
  <c r="K28" i="30" s="1"/>
  <c r="L28" i="30" s="1"/>
  <c r="M28" i="30" s="1"/>
  <c r="N28" i="30" s="1"/>
  <c r="O28" i="30" s="1"/>
  <c r="P28" i="30" s="1"/>
  <c r="Q28" i="30" s="1"/>
  <c r="R28" i="30" s="1"/>
  <c r="S28" i="30" s="1"/>
  <c r="T28" i="30" s="1"/>
  <c r="U28" i="30" s="1"/>
  <c r="V28" i="30" s="1"/>
  <c r="E30" i="30"/>
  <c r="H23" i="30"/>
  <c r="P23" i="30"/>
  <c r="I23" i="30"/>
  <c r="Q23" i="30"/>
  <c r="J23" i="30"/>
  <c r="C29" i="30"/>
  <c r="K29" i="30"/>
  <c r="M23" i="29"/>
  <c r="D23" i="29"/>
  <c r="E23" i="29"/>
  <c r="E29" i="29" s="1"/>
  <c r="K23" i="29"/>
  <c r="R23" i="29"/>
  <c r="S23" i="29"/>
  <c r="U23" i="29"/>
  <c r="U29" i="29" s="1"/>
  <c r="Q23" i="29"/>
  <c r="F30" i="29"/>
  <c r="G30" i="29" s="1"/>
  <c r="H30" i="29" s="1"/>
  <c r="I30" i="29" s="1"/>
  <c r="J30" i="29" s="1"/>
  <c r="K30" i="29" s="1"/>
  <c r="L30" i="29" s="1"/>
  <c r="M30" i="29" s="1"/>
  <c r="N30" i="29" s="1"/>
  <c r="O30" i="29" s="1"/>
  <c r="P30" i="29" s="1"/>
  <c r="Q30" i="29" s="1"/>
  <c r="R30" i="29" s="1"/>
  <c r="S30" i="29" s="1"/>
  <c r="T30" i="29" s="1"/>
  <c r="U30" i="29" s="1"/>
  <c r="V30" i="29" s="1"/>
  <c r="L23" i="29"/>
  <c r="T23" i="29"/>
  <c r="F23" i="29"/>
  <c r="N23" i="29"/>
  <c r="V23" i="29"/>
  <c r="G23" i="29"/>
  <c r="O23" i="29"/>
  <c r="F28" i="29"/>
  <c r="G28" i="29" s="1"/>
  <c r="H28" i="29" s="1"/>
  <c r="I28" i="29" s="1"/>
  <c r="J28" i="29" s="1"/>
  <c r="K28" i="29" s="1"/>
  <c r="L28" i="29" s="1"/>
  <c r="M28" i="29" s="1"/>
  <c r="N28" i="29" s="1"/>
  <c r="O28" i="29" s="1"/>
  <c r="P28" i="29" s="1"/>
  <c r="Q28" i="29" s="1"/>
  <c r="R28" i="29" s="1"/>
  <c r="S28" i="29" s="1"/>
  <c r="T28" i="29" s="1"/>
  <c r="U28" i="29" s="1"/>
  <c r="V28" i="29" s="1"/>
  <c r="H23" i="29"/>
  <c r="P23" i="29"/>
  <c r="I23" i="29"/>
  <c r="J23" i="29"/>
  <c r="C29" i="29"/>
  <c r="N23" i="28"/>
  <c r="E30" i="28"/>
  <c r="F30" i="28" s="1"/>
  <c r="G30" i="28" s="1"/>
  <c r="H30" i="28" s="1"/>
  <c r="I30" i="28" s="1"/>
  <c r="J30" i="28" s="1"/>
  <c r="K30" i="28" s="1"/>
  <c r="L30" i="28" s="1"/>
  <c r="M30" i="28" s="1"/>
  <c r="N30" i="28" s="1"/>
  <c r="O30" i="28" s="1"/>
  <c r="P30" i="28" s="1"/>
  <c r="Q30" i="28" s="1"/>
  <c r="R30" i="28" s="1"/>
  <c r="S30" i="28" s="1"/>
  <c r="T30" i="28" s="1"/>
  <c r="U30" i="28" s="1"/>
  <c r="V30" i="28" s="1"/>
  <c r="O29" i="28"/>
  <c r="P29" i="28"/>
  <c r="Q29" i="28"/>
  <c r="R23" i="28"/>
  <c r="K23" i="28"/>
  <c r="D23" i="28"/>
  <c r="L23" i="28"/>
  <c r="T23" i="28"/>
  <c r="J23" i="28"/>
  <c r="C23" i="28"/>
  <c r="S23" i="28"/>
  <c r="E23" i="28"/>
  <c r="M23" i="28"/>
  <c r="U23" i="28"/>
  <c r="F29" i="28"/>
  <c r="N29" i="28"/>
  <c r="G23" i="28"/>
  <c r="H23" i="28"/>
  <c r="W28" i="28"/>
  <c r="I23" i="28"/>
  <c r="I23" i="27"/>
  <c r="K23" i="27"/>
  <c r="W24" i="27"/>
  <c r="F30" i="27"/>
  <c r="G30" i="27" s="1"/>
  <c r="H30" i="27" s="1"/>
  <c r="I30" i="27" s="1"/>
  <c r="J30" i="27" s="1"/>
  <c r="K30" i="27" s="1"/>
  <c r="L30" i="27" s="1"/>
  <c r="M30" i="27" s="1"/>
  <c r="N30" i="27" s="1"/>
  <c r="O30" i="27" s="1"/>
  <c r="P30" i="27" s="1"/>
  <c r="Q30" i="27" s="1"/>
  <c r="R30" i="27" s="1"/>
  <c r="S30" i="27" s="1"/>
  <c r="T30" i="27" s="1"/>
  <c r="U30" i="27" s="1"/>
  <c r="V30" i="27" s="1"/>
  <c r="R29" i="27"/>
  <c r="W28" i="27"/>
  <c r="D23" i="27"/>
  <c r="L23" i="27"/>
  <c r="T23" i="27"/>
  <c r="E23" i="27"/>
  <c r="M23" i="27"/>
  <c r="U23" i="27"/>
  <c r="F23" i="27"/>
  <c r="N23" i="27"/>
  <c r="V23" i="27"/>
  <c r="G23" i="27"/>
  <c r="O23" i="27"/>
  <c r="H23" i="27"/>
  <c r="P23" i="27"/>
  <c r="Q23" i="27"/>
  <c r="J23" i="27"/>
  <c r="C29" i="27"/>
  <c r="K29" i="27"/>
  <c r="S29" i="27"/>
  <c r="S31" i="27" s="1"/>
  <c r="R29" i="26"/>
  <c r="I29" i="26"/>
  <c r="F30" i="26"/>
  <c r="G30" i="26" s="1"/>
  <c r="H30" i="26" s="1"/>
  <c r="I30" i="26" s="1"/>
  <c r="J30" i="26" s="1"/>
  <c r="K30" i="26" s="1"/>
  <c r="L30" i="26" s="1"/>
  <c r="M30" i="26" s="1"/>
  <c r="N30" i="26" s="1"/>
  <c r="O30" i="26" s="1"/>
  <c r="P30" i="26" s="1"/>
  <c r="Q30" i="26" s="1"/>
  <c r="R30" i="26" s="1"/>
  <c r="S30" i="26" s="1"/>
  <c r="T30" i="26" s="1"/>
  <c r="U30" i="26" s="1"/>
  <c r="V30" i="26" s="1"/>
  <c r="D23" i="26"/>
  <c r="L23" i="26"/>
  <c r="T23" i="26"/>
  <c r="E23" i="26"/>
  <c r="U23" i="26"/>
  <c r="F23" i="26"/>
  <c r="N23" i="26"/>
  <c r="V23" i="26"/>
  <c r="M23" i="26"/>
  <c r="G23" i="26"/>
  <c r="O23" i="26"/>
  <c r="F28" i="26"/>
  <c r="G28" i="26" s="1"/>
  <c r="H28" i="26" s="1"/>
  <c r="I28" i="26" s="1"/>
  <c r="J28" i="26" s="1"/>
  <c r="K28" i="26" s="1"/>
  <c r="L28" i="26" s="1"/>
  <c r="M28" i="26" s="1"/>
  <c r="N28" i="26" s="1"/>
  <c r="O28" i="26" s="1"/>
  <c r="P28" i="26" s="1"/>
  <c r="Q28" i="26" s="1"/>
  <c r="R28" i="26" s="1"/>
  <c r="S28" i="26" s="1"/>
  <c r="T28" i="26" s="1"/>
  <c r="U28" i="26" s="1"/>
  <c r="V28" i="26" s="1"/>
  <c r="H23" i="26"/>
  <c r="P23" i="26"/>
  <c r="Q23" i="26"/>
  <c r="J23" i="26"/>
  <c r="S29" i="26"/>
  <c r="B4" i="25"/>
  <c r="B32" i="25"/>
  <c r="B29" i="25"/>
  <c r="E28" i="25"/>
  <c r="F28" i="25" s="1"/>
  <c r="G28" i="25" s="1"/>
  <c r="H28" i="25" s="1"/>
  <c r="I28" i="25" s="1"/>
  <c r="J28" i="25" s="1"/>
  <c r="K28" i="25" s="1"/>
  <c r="L28" i="25" s="1"/>
  <c r="M28" i="25" s="1"/>
  <c r="N28" i="25" s="1"/>
  <c r="O28" i="25" s="1"/>
  <c r="P28" i="25" s="1"/>
  <c r="Q28" i="25" s="1"/>
  <c r="R28" i="25" s="1"/>
  <c r="S28" i="25" s="1"/>
  <c r="T28" i="25" s="1"/>
  <c r="U28" i="25" s="1"/>
  <c r="V28" i="25" s="1"/>
  <c r="W27" i="25"/>
  <c r="W26" i="25"/>
  <c r="B26" i="25"/>
  <c r="W25" i="25"/>
  <c r="B24" i="25"/>
  <c r="E30" i="25" s="1"/>
  <c r="F9" i="25"/>
  <c r="F7" i="25"/>
  <c r="B29" i="13"/>
  <c r="B26" i="13"/>
  <c r="B24" i="13"/>
  <c r="B4" i="13"/>
  <c r="G119" i="12" l="1"/>
  <c r="Q29" i="29"/>
  <c r="Q31" i="29" s="1"/>
  <c r="Q32" i="29" s="1"/>
  <c r="C31" i="26"/>
  <c r="C29" i="26"/>
  <c r="P31" i="33"/>
  <c r="R31" i="33"/>
  <c r="E31" i="34"/>
  <c r="I31" i="26"/>
  <c r="N31" i="28"/>
  <c r="H31" i="33"/>
  <c r="S31" i="26"/>
  <c r="V31" i="28"/>
  <c r="R31" i="27"/>
  <c r="R32" i="27" s="1"/>
  <c r="F31" i="28"/>
  <c r="Q31" i="28"/>
  <c r="S29" i="29"/>
  <c r="S31" i="29"/>
  <c r="R29" i="29"/>
  <c r="R31" i="29"/>
  <c r="O31" i="28"/>
  <c r="K29" i="29"/>
  <c r="K31" i="29" s="1"/>
  <c r="K32" i="29" s="1"/>
  <c r="G31" i="31"/>
  <c r="G32" i="31" s="1"/>
  <c r="M31" i="32"/>
  <c r="U31" i="33"/>
  <c r="Q31" i="34"/>
  <c r="P31" i="28"/>
  <c r="O31" i="33"/>
  <c r="R31" i="34"/>
  <c r="C31" i="29"/>
  <c r="Q31" i="31"/>
  <c r="Q32" i="31" s="1"/>
  <c r="L31" i="31"/>
  <c r="O31" i="26"/>
  <c r="T31" i="28"/>
  <c r="E31" i="29"/>
  <c r="H31" i="27"/>
  <c r="K31" i="27"/>
  <c r="G29" i="31"/>
  <c r="S29" i="31"/>
  <c r="S31" i="31"/>
  <c r="E31" i="33"/>
  <c r="H31" i="34"/>
  <c r="J31" i="34"/>
  <c r="K31" i="30"/>
  <c r="R31" i="30"/>
  <c r="P31" i="34"/>
  <c r="D31" i="27"/>
  <c r="C31" i="33"/>
  <c r="C31" i="30"/>
  <c r="C32" i="30" s="1"/>
  <c r="T31" i="31"/>
  <c r="N31" i="32"/>
  <c r="D31" i="28"/>
  <c r="M31" i="30"/>
  <c r="O31" i="31"/>
  <c r="F31" i="26"/>
  <c r="I29" i="27"/>
  <c r="I31" i="27" s="1"/>
  <c r="S29" i="30"/>
  <c r="S31" i="30" s="1"/>
  <c r="V31" i="27"/>
  <c r="F31" i="29"/>
  <c r="E31" i="30"/>
  <c r="O29" i="34"/>
  <c r="O31" i="34" s="1"/>
  <c r="Q31" i="32"/>
  <c r="R31" i="26"/>
  <c r="R32" i="26" s="1"/>
  <c r="C31" i="32"/>
  <c r="C31" i="31"/>
  <c r="H31" i="32"/>
  <c r="F31" i="34"/>
  <c r="P29" i="34"/>
  <c r="G31" i="33"/>
  <c r="C31" i="27"/>
  <c r="C32" i="27" s="1"/>
  <c r="U31" i="29"/>
  <c r="U32" i="29" s="1"/>
  <c r="I29" i="31"/>
  <c r="I31" i="31" s="1"/>
  <c r="Q31" i="27"/>
  <c r="V31" i="29"/>
  <c r="S23" i="25"/>
  <c r="K29" i="26"/>
  <c r="K31" i="26" s="1"/>
  <c r="K32" i="26" s="1"/>
  <c r="M29" i="29"/>
  <c r="M31" i="29" s="1"/>
  <c r="J31" i="30"/>
  <c r="K31" i="33"/>
  <c r="U31" i="34"/>
  <c r="I31" i="34"/>
  <c r="S31" i="33"/>
  <c r="S32" i="33" s="1"/>
  <c r="R31" i="31"/>
  <c r="R32" i="31" s="1"/>
  <c r="I32" i="34"/>
  <c r="W30" i="31"/>
  <c r="K32" i="27"/>
  <c r="C23" i="25"/>
  <c r="C29" i="25" s="1"/>
  <c r="R23" i="25"/>
  <c r="R29" i="25" s="1"/>
  <c r="I23" i="25"/>
  <c r="I29" i="25" s="1"/>
  <c r="K23" i="25"/>
  <c r="G29" i="34"/>
  <c r="M29" i="34"/>
  <c r="M31" i="34" s="1"/>
  <c r="Q29" i="34"/>
  <c r="W23" i="34"/>
  <c r="C29" i="34"/>
  <c r="C31" i="34" s="1"/>
  <c r="E29" i="34"/>
  <c r="R29" i="34"/>
  <c r="T29" i="34"/>
  <c r="T31" i="34" s="1"/>
  <c r="J29" i="34"/>
  <c r="V29" i="34"/>
  <c r="V31" i="34" s="1"/>
  <c r="L29" i="34"/>
  <c r="L31" i="34" s="1"/>
  <c r="N29" i="34"/>
  <c r="N31" i="34" s="1"/>
  <c r="D29" i="34"/>
  <c r="D31" i="34" s="1"/>
  <c r="P32" i="34"/>
  <c r="F29" i="34"/>
  <c r="S29" i="34"/>
  <c r="S31" i="34" s="1"/>
  <c r="W30" i="34"/>
  <c r="U29" i="34"/>
  <c r="H29" i="34"/>
  <c r="K29" i="34"/>
  <c r="K31" i="34" s="1"/>
  <c r="W23" i="33"/>
  <c r="C29" i="33"/>
  <c r="R29" i="33"/>
  <c r="E29" i="33"/>
  <c r="V29" i="33"/>
  <c r="V31" i="33" s="1"/>
  <c r="O32" i="33"/>
  <c r="J29" i="33"/>
  <c r="J31" i="33" s="1"/>
  <c r="N29" i="33"/>
  <c r="N31" i="33" s="1"/>
  <c r="G32" i="33"/>
  <c r="I29" i="33"/>
  <c r="F29" i="33"/>
  <c r="T29" i="33"/>
  <c r="Q29" i="33"/>
  <c r="Q31" i="33" s="1"/>
  <c r="H29" i="33"/>
  <c r="L29" i="33"/>
  <c r="L31" i="33" s="1"/>
  <c r="P32" i="33"/>
  <c r="U29" i="33"/>
  <c r="D29" i="33"/>
  <c r="M29" i="33"/>
  <c r="M31" i="33" s="1"/>
  <c r="K29" i="33"/>
  <c r="O29" i="32"/>
  <c r="O31" i="32" s="1"/>
  <c r="D29" i="32"/>
  <c r="D31" i="32" s="1"/>
  <c r="G29" i="32"/>
  <c r="G31" i="32" s="1"/>
  <c r="U29" i="32"/>
  <c r="U31" i="32" s="1"/>
  <c r="K29" i="32"/>
  <c r="K31" i="32" s="1"/>
  <c r="S29" i="32"/>
  <c r="S31" i="32" s="1"/>
  <c r="M29" i="32"/>
  <c r="W23" i="32"/>
  <c r="C29" i="32"/>
  <c r="E29" i="32"/>
  <c r="E31" i="32" s="1"/>
  <c r="I29" i="32"/>
  <c r="I31" i="32" s="1"/>
  <c r="R29" i="32"/>
  <c r="R31" i="32" s="1"/>
  <c r="P29" i="32"/>
  <c r="P31" i="32" s="1"/>
  <c r="V29" i="32"/>
  <c r="V31" i="32" s="1"/>
  <c r="J29" i="32"/>
  <c r="J31" i="32" s="1"/>
  <c r="H29" i="32"/>
  <c r="N29" i="32"/>
  <c r="T29" i="32"/>
  <c r="T31" i="32" s="1"/>
  <c r="F30" i="32"/>
  <c r="G30" i="32" s="1"/>
  <c r="H30" i="32" s="1"/>
  <c r="I30" i="32" s="1"/>
  <c r="J30" i="32" s="1"/>
  <c r="K30" i="32" s="1"/>
  <c r="L30" i="32" s="1"/>
  <c r="M30" i="32" s="1"/>
  <c r="N30" i="32" s="1"/>
  <c r="O30" i="32" s="1"/>
  <c r="P30" i="32" s="1"/>
  <c r="Q30" i="32" s="1"/>
  <c r="R30" i="32" s="1"/>
  <c r="S30" i="32" s="1"/>
  <c r="T30" i="32" s="1"/>
  <c r="U30" i="32" s="1"/>
  <c r="V30" i="32" s="1"/>
  <c r="F29" i="32"/>
  <c r="F31" i="32" s="1"/>
  <c r="L29" i="32"/>
  <c r="L31" i="32" s="1"/>
  <c r="W28" i="32"/>
  <c r="T29" i="31"/>
  <c r="J29" i="31"/>
  <c r="J31" i="31" s="1"/>
  <c r="L29" i="31"/>
  <c r="U29" i="31"/>
  <c r="U31" i="31" s="1"/>
  <c r="D29" i="31"/>
  <c r="D31" i="31" s="1"/>
  <c r="F29" i="31"/>
  <c r="C29" i="31"/>
  <c r="W23" i="31"/>
  <c r="E29" i="31"/>
  <c r="E31" i="31" s="1"/>
  <c r="S32" i="31"/>
  <c r="H29" i="31"/>
  <c r="H31" i="31" s="1"/>
  <c r="V29" i="31"/>
  <c r="V31" i="31" s="1"/>
  <c r="K29" i="31"/>
  <c r="M29" i="31"/>
  <c r="M31" i="31" s="1"/>
  <c r="P29" i="31"/>
  <c r="P31" i="31" s="1"/>
  <c r="N29" i="31"/>
  <c r="O32" i="31"/>
  <c r="W23" i="30"/>
  <c r="I29" i="30"/>
  <c r="I31" i="30" s="1"/>
  <c r="U29" i="30"/>
  <c r="U31" i="30" s="1"/>
  <c r="M29" i="30"/>
  <c r="W28" i="30"/>
  <c r="O29" i="30"/>
  <c r="O31" i="30" s="1"/>
  <c r="E29" i="30"/>
  <c r="Q29" i="30"/>
  <c r="Q31" i="30" s="1"/>
  <c r="G29" i="30"/>
  <c r="G31" i="30" s="1"/>
  <c r="T29" i="30"/>
  <c r="T31" i="30" s="1"/>
  <c r="V29" i="30"/>
  <c r="V31" i="30" s="1"/>
  <c r="L29" i="30"/>
  <c r="L31" i="30" s="1"/>
  <c r="F30" i="30"/>
  <c r="G30" i="30" s="1"/>
  <c r="H30" i="30" s="1"/>
  <c r="I30" i="30" s="1"/>
  <c r="J30" i="30" s="1"/>
  <c r="K30" i="30" s="1"/>
  <c r="L30" i="30" s="1"/>
  <c r="M30" i="30" s="1"/>
  <c r="N30" i="30" s="1"/>
  <c r="O30" i="30" s="1"/>
  <c r="P30" i="30" s="1"/>
  <c r="Q30" i="30" s="1"/>
  <c r="R30" i="30" s="1"/>
  <c r="S30" i="30" s="1"/>
  <c r="P29" i="30"/>
  <c r="P31" i="30" s="1"/>
  <c r="N29" i="30"/>
  <c r="N31" i="30" s="1"/>
  <c r="D29" i="30"/>
  <c r="D31" i="30" s="1"/>
  <c r="J29" i="30"/>
  <c r="H29" i="30"/>
  <c r="H31" i="30" s="1"/>
  <c r="F29" i="30"/>
  <c r="F31" i="30" s="1"/>
  <c r="S32" i="29"/>
  <c r="D29" i="29"/>
  <c r="D31" i="29" s="1"/>
  <c r="W23" i="29"/>
  <c r="C32" i="29"/>
  <c r="I29" i="29"/>
  <c r="I31" i="29" s="1"/>
  <c r="G29" i="29"/>
  <c r="G31" i="29" s="1"/>
  <c r="O29" i="29"/>
  <c r="R32" i="29"/>
  <c r="V29" i="29"/>
  <c r="P29" i="29"/>
  <c r="P31" i="29" s="1"/>
  <c r="N29" i="29"/>
  <c r="T29" i="29"/>
  <c r="T31" i="29" s="1"/>
  <c r="W30" i="29"/>
  <c r="H29" i="29"/>
  <c r="H31" i="29" s="1"/>
  <c r="F29" i="29"/>
  <c r="L29" i="29"/>
  <c r="W28" i="29"/>
  <c r="J29" i="29"/>
  <c r="W23" i="28"/>
  <c r="C29" i="28"/>
  <c r="C31" i="28" s="1"/>
  <c r="J29" i="28"/>
  <c r="J31" i="28" s="1"/>
  <c r="W30" i="28"/>
  <c r="R29" i="28"/>
  <c r="R31" i="28" s="1"/>
  <c r="T29" i="28"/>
  <c r="V32" i="28"/>
  <c r="P32" i="28"/>
  <c r="L29" i="28"/>
  <c r="L31" i="28" s="1"/>
  <c r="N32" i="28"/>
  <c r="M29" i="28"/>
  <c r="M31" i="28" s="1"/>
  <c r="D29" i="28"/>
  <c r="F32" i="28"/>
  <c r="U29" i="28"/>
  <c r="U31" i="28" s="1"/>
  <c r="E29" i="28"/>
  <c r="E31" i="28" s="1"/>
  <c r="Q32" i="28"/>
  <c r="O32" i="28"/>
  <c r="I29" i="28"/>
  <c r="H29" i="28"/>
  <c r="G29" i="28"/>
  <c r="G31" i="28" s="1"/>
  <c r="S29" i="28"/>
  <c r="K29" i="28"/>
  <c r="K31" i="28" s="1"/>
  <c r="N29" i="27"/>
  <c r="N31" i="27" s="1"/>
  <c r="D29" i="27"/>
  <c r="L29" i="27"/>
  <c r="L31" i="27" s="1"/>
  <c r="V29" i="27"/>
  <c r="H29" i="27"/>
  <c r="J29" i="27"/>
  <c r="J31" i="27" s="1"/>
  <c r="W23" i="27"/>
  <c r="U29" i="27"/>
  <c r="U31" i="27" s="1"/>
  <c r="S32" i="27"/>
  <c r="W30" i="27"/>
  <c r="Q29" i="27"/>
  <c r="O29" i="27"/>
  <c r="O31" i="27" s="1"/>
  <c r="M29" i="27"/>
  <c r="M31" i="27" s="1"/>
  <c r="F29" i="27"/>
  <c r="G29" i="27"/>
  <c r="G31" i="27" s="1"/>
  <c r="E29" i="27"/>
  <c r="E31" i="27" s="1"/>
  <c r="P29" i="27"/>
  <c r="T29" i="27"/>
  <c r="T31" i="27" s="1"/>
  <c r="C32" i="26"/>
  <c r="L29" i="26"/>
  <c r="L31" i="26" s="1"/>
  <c r="P29" i="26"/>
  <c r="P31" i="26" s="1"/>
  <c r="V29" i="26"/>
  <c r="V31" i="26" s="1"/>
  <c r="D29" i="26"/>
  <c r="D31" i="26" s="1"/>
  <c r="I32" i="26"/>
  <c r="H29" i="26"/>
  <c r="N29" i="26"/>
  <c r="N31" i="26" s="1"/>
  <c r="W28" i="26"/>
  <c r="J29" i="26"/>
  <c r="J31" i="26" s="1"/>
  <c r="Q29" i="26"/>
  <c r="Q31" i="26" s="1"/>
  <c r="W23" i="26"/>
  <c r="W30" i="26"/>
  <c r="F29" i="26"/>
  <c r="O29" i="26"/>
  <c r="U29" i="26"/>
  <c r="S32" i="26"/>
  <c r="G29" i="26"/>
  <c r="E29" i="26"/>
  <c r="E31" i="26" s="1"/>
  <c r="M29" i="26"/>
  <c r="M31" i="26" s="1"/>
  <c r="T29" i="26"/>
  <c r="T31" i="26" s="1"/>
  <c r="W24" i="25"/>
  <c r="W28" i="25"/>
  <c r="F30" i="25"/>
  <c r="G30" i="25" s="1"/>
  <c r="H30" i="25" s="1"/>
  <c r="I30" i="25" s="1"/>
  <c r="J30" i="25" s="1"/>
  <c r="K30" i="25" s="1"/>
  <c r="L30" i="25" s="1"/>
  <c r="M30" i="25" s="1"/>
  <c r="N30" i="25" s="1"/>
  <c r="O30" i="25" s="1"/>
  <c r="P30" i="25" s="1"/>
  <c r="Q30" i="25" s="1"/>
  <c r="R30" i="25" s="1"/>
  <c r="S30" i="25" s="1"/>
  <c r="T30" i="25" s="1"/>
  <c r="U30" i="25" s="1"/>
  <c r="V30" i="25" s="1"/>
  <c r="D23" i="25"/>
  <c r="L23" i="25"/>
  <c r="T23" i="25"/>
  <c r="E23" i="25"/>
  <c r="M23" i="25"/>
  <c r="U23" i="25"/>
  <c r="F23" i="25"/>
  <c r="N23" i="25"/>
  <c r="V23" i="25"/>
  <c r="G23" i="25"/>
  <c r="O23" i="25"/>
  <c r="H23" i="25"/>
  <c r="P23" i="25"/>
  <c r="Q23" i="25"/>
  <c r="J23" i="25"/>
  <c r="K29" i="25"/>
  <c r="H119" i="12" l="1"/>
  <c r="T32" i="31"/>
  <c r="I32" i="27"/>
  <c r="O32" i="34"/>
  <c r="O32" i="27"/>
  <c r="D31" i="25"/>
  <c r="G32" i="27"/>
  <c r="N32" i="27"/>
  <c r="J32" i="31"/>
  <c r="U32" i="34"/>
  <c r="M32" i="34"/>
  <c r="V32" i="29"/>
  <c r="K31" i="25"/>
  <c r="K32" i="25" s="1"/>
  <c r="I31" i="33"/>
  <c r="I32" i="33" s="1"/>
  <c r="R31" i="25"/>
  <c r="G31" i="34"/>
  <c r="G32" i="34" s="1"/>
  <c r="H32" i="28"/>
  <c r="Q32" i="27"/>
  <c r="O32" i="29"/>
  <c r="F31" i="27"/>
  <c r="F32" i="27" s="1"/>
  <c r="E32" i="30"/>
  <c r="E32" i="31"/>
  <c r="E32" i="33"/>
  <c r="J32" i="34"/>
  <c r="I32" i="31"/>
  <c r="T31" i="33"/>
  <c r="T32" i="33" s="1"/>
  <c r="N32" i="34"/>
  <c r="F31" i="25"/>
  <c r="G32" i="26"/>
  <c r="T32" i="34"/>
  <c r="U31" i="25"/>
  <c r="M32" i="29"/>
  <c r="H31" i="28"/>
  <c r="D31" i="33"/>
  <c r="D32" i="33" s="1"/>
  <c r="S31" i="28"/>
  <c r="S32" i="28" s="1"/>
  <c r="G31" i="26"/>
  <c r="M31" i="25"/>
  <c r="U32" i="33"/>
  <c r="E32" i="34"/>
  <c r="F31" i="31"/>
  <c r="F32" i="31" s="1"/>
  <c r="N31" i="31"/>
  <c r="N32" i="31" s="1"/>
  <c r="K31" i="31"/>
  <c r="K32" i="31" s="1"/>
  <c r="I31" i="25"/>
  <c r="V32" i="31"/>
  <c r="C31" i="25"/>
  <c r="O31" i="29"/>
  <c r="U32" i="27"/>
  <c r="J31" i="29"/>
  <c r="J32" i="29" s="1"/>
  <c r="G32" i="29"/>
  <c r="O32" i="26"/>
  <c r="E32" i="26"/>
  <c r="P32" i="27"/>
  <c r="S31" i="25"/>
  <c r="I31" i="28"/>
  <c r="I32" i="28" s="1"/>
  <c r="H31" i="26"/>
  <c r="H32" i="26" s="1"/>
  <c r="S29" i="25"/>
  <c r="L32" i="31"/>
  <c r="H32" i="33"/>
  <c r="H32" i="34"/>
  <c r="N31" i="29"/>
  <c r="N32" i="29" s="1"/>
  <c r="U31" i="26"/>
  <c r="U32" i="26" s="1"/>
  <c r="L31" i="29"/>
  <c r="L32" i="29" s="1"/>
  <c r="P31" i="27"/>
  <c r="F31" i="33"/>
  <c r="F32" i="33" s="1"/>
  <c r="F32" i="26"/>
  <c r="S32" i="34"/>
  <c r="F32" i="34"/>
  <c r="L32" i="34"/>
  <c r="Q32" i="34"/>
  <c r="W29" i="34"/>
  <c r="K32" i="34"/>
  <c r="D32" i="34"/>
  <c r="V32" i="34"/>
  <c r="R32" i="34"/>
  <c r="J32" i="33"/>
  <c r="L32" i="33"/>
  <c r="V32" i="33"/>
  <c r="R32" i="33"/>
  <c r="K32" i="33"/>
  <c r="N32" i="33"/>
  <c r="W29" i="33"/>
  <c r="M32" i="33"/>
  <c r="Q32" i="33"/>
  <c r="N32" i="32"/>
  <c r="T32" i="32"/>
  <c r="D32" i="32"/>
  <c r="F32" i="32"/>
  <c r="K32" i="32"/>
  <c r="C32" i="32"/>
  <c r="I32" i="32"/>
  <c r="S32" i="32"/>
  <c r="H32" i="32"/>
  <c r="V32" i="32"/>
  <c r="G32" i="32"/>
  <c r="W30" i="32"/>
  <c r="P32" i="32"/>
  <c r="Q32" i="32"/>
  <c r="L32" i="32"/>
  <c r="J32" i="32"/>
  <c r="M32" i="32"/>
  <c r="R32" i="32"/>
  <c r="U32" i="32"/>
  <c r="O32" i="32"/>
  <c r="W29" i="32"/>
  <c r="U32" i="31"/>
  <c r="D32" i="31"/>
  <c r="M32" i="31"/>
  <c r="H32" i="31"/>
  <c r="W29" i="31"/>
  <c r="P32" i="31"/>
  <c r="L32" i="30"/>
  <c r="D32" i="30"/>
  <c r="F32" i="30"/>
  <c r="P32" i="30"/>
  <c r="O32" i="30"/>
  <c r="H32" i="30"/>
  <c r="W29" i="30"/>
  <c r="K32" i="30"/>
  <c r="T30" i="30"/>
  <c r="U30" i="30" s="1"/>
  <c r="V30" i="30" s="1"/>
  <c r="V32" i="30" s="1"/>
  <c r="S32" i="30"/>
  <c r="I32" i="30"/>
  <c r="Q32" i="30"/>
  <c r="N32" i="30"/>
  <c r="J32" i="30"/>
  <c r="R32" i="30"/>
  <c r="M32" i="30"/>
  <c r="P32" i="29"/>
  <c r="D32" i="29"/>
  <c r="H32" i="29"/>
  <c r="I32" i="29"/>
  <c r="E32" i="29"/>
  <c r="W29" i="29"/>
  <c r="F32" i="29"/>
  <c r="T32" i="29"/>
  <c r="J32" i="28"/>
  <c r="M32" i="28"/>
  <c r="T32" i="28"/>
  <c r="G32" i="28"/>
  <c r="U32" i="28"/>
  <c r="B38" i="28"/>
  <c r="W29" i="28"/>
  <c r="B37" i="28"/>
  <c r="C37" i="28" s="1"/>
  <c r="L32" i="28"/>
  <c r="R32" i="28"/>
  <c r="K32" i="28"/>
  <c r="D32" i="28"/>
  <c r="E32" i="28"/>
  <c r="V32" i="27"/>
  <c r="M32" i="27"/>
  <c r="H32" i="27"/>
  <c r="L32" i="27"/>
  <c r="T32" i="27"/>
  <c r="J32" i="27"/>
  <c r="D32" i="27"/>
  <c r="W29" i="27"/>
  <c r="N32" i="26"/>
  <c r="P32" i="26"/>
  <c r="B37" i="26"/>
  <c r="C37" i="26" s="1"/>
  <c r="M32" i="26"/>
  <c r="Q32" i="26"/>
  <c r="W29" i="26"/>
  <c r="L32" i="26"/>
  <c r="B38" i="26"/>
  <c r="V32" i="26"/>
  <c r="D32" i="26"/>
  <c r="T32" i="26"/>
  <c r="W23" i="25"/>
  <c r="L29" i="25"/>
  <c r="L31" i="25" s="1"/>
  <c r="N29" i="25"/>
  <c r="N31" i="25" s="1"/>
  <c r="D29" i="25"/>
  <c r="C32" i="25"/>
  <c r="V29" i="25"/>
  <c r="V31" i="25" s="1"/>
  <c r="P29" i="25"/>
  <c r="F29" i="25"/>
  <c r="I32" i="25"/>
  <c r="J29" i="25"/>
  <c r="H29" i="25"/>
  <c r="H31" i="25" s="1"/>
  <c r="Q29" i="25"/>
  <c r="O29" i="25"/>
  <c r="O31" i="25" s="1"/>
  <c r="M29" i="25"/>
  <c r="W30" i="25"/>
  <c r="R32" i="25"/>
  <c r="U29" i="25"/>
  <c r="G29" i="25"/>
  <c r="G31" i="25" s="1"/>
  <c r="E29" i="25"/>
  <c r="E31" i="25" s="1"/>
  <c r="S32" i="25"/>
  <c r="T29" i="25"/>
  <c r="T31" i="25" s="1"/>
  <c r="I119" i="12" l="1"/>
  <c r="P31" i="25"/>
  <c r="P32" i="25" s="1"/>
  <c r="Q31" i="25"/>
  <c r="Q32" i="25" s="1"/>
  <c r="J31" i="25"/>
  <c r="J32" i="25" s="1"/>
  <c r="G32" i="25"/>
  <c r="W31" i="32"/>
  <c r="W31" i="31"/>
  <c r="W31" i="30"/>
  <c r="W31" i="34"/>
  <c r="C32" i="34"/>
  <c r="W31" i="33"/>
  <c r="C32" i="33"/>
  <c r="E32" i="32"/>
  <c r="W32" i="32" s="1"/>
  <c r="C32" i="31"/>
  <c r="T32" i="30"/>
  <c r="W30" i="30"/>
  <c r="U32" i="30"/>
  <c r="G32" i="30"/>
  <c r="W32" i="29"/>
  <c r="W31" i="29"/>
  <c r="W31" i="28"/>
  <c r="C32" i="28"/>
  <c r="W31" i="27"/>
  <c r="E32" i="27"/>
  <c r="W31" i="26"/>
  <c r="J32" i="26"/>
  <c r="W29" i="25"/>
  <c r="U32" i="25"/>
  <c r="T32" i="25"/>
  <c r="V32" i="25"/>
  <c r="L32" i="25"/>
  <c r="N32" i="25"/>
  <c r="M32" i="25"/>
  <c r="O32" i="25"/>
  <c r="H32" i="25"/>
  <c r="F32" i="25"/>
  <c r="E32" i="25"/>
  <c r="D32" i="25"/>
  <c r="J119" i="12" l="1"/>
  <c r="W32" i="34"/>
  <c r="W32" i="33"/>
  <c r="W32" i="31"/>
  <c r="W32" i="30"/>
  <c r="W32" i="28"/>
  <c r="W32" i="27"/>
  <c r="W32" i="26"/>
  <c r="W31" i="25"/>
  <c r="W32" i="25"/>
  <c r="B32" i="13"/>
  <c r="E30" i="13"/>
  <c r="W27" i="13"/>
  <c r="W26" i="13"/>
  <c r="W25" i="13"/>
  <c r="W24" i="13"/>
  <c r="F9" i="13"/>
  <c r="F7" i="13"/>
  <c r="R23" i="13" s="1"/>
  <c r="Q23" i="13"/>
  <c r="F25" i="12"/>
  <c r="F23" i="12"/>
  <c r="K119" i="12" l="1"/>
  <c r="J123" i="12"/>
  <c r="O23" i="13"/>
  <c r="L96" i="12"/>
  <c r="Q29" i="13"/>
  <c r="O29" i="13"/>
  <c r="J23" i="13"/>
  <c r="S23" i="13"/>
  <c r="D23" i="13"/>
  <c r="L23" i="13"/>
  <c r="T23" i="13"/>
  <c r="C23" i="13"/>
  <c r="K23" i="13"/>
  <c r="E23" i="13"/>
  <c r="M23" i="13"/>
  <c r="U23" i="13"/>
  <c r="F23" i="13"/>
  <c r="N23" i="13"/>
  <c r="V23" i="13"/>
  <c r="E28" i="13"/>
  <c r="F28" i="13" s="1"/>
  <c r="G28" i="13" s="1"/>
  <c r="H28" i="13" s="1"/>
  <c r="I28" i="13" s="1"/>
  <c r="J28" i="13" s="1"/>
  <c r="K28" i="13" s="1"/>
  <c r="L28" i="13" s="1"/>
  <c r="M28" i="13" s="1"/>
  <c r="N28" i="13" s="1"/>
  <c r="O28" i="13" s="1"/>
  <c r="P28" i="13" s="1"/>
  <c r="Q28" i="13" s="1"/>
  <c r="R28" i="13" s="1"/>
  <c r="S28" i="13" s="1"/>
  <c r="T28" i="13" s="1"/>
  <c r="U28" i="13" s="1"/>
  <c r="V28" i="13" s="1"/>
  <c r="G23" i="13"/>
  <c r="H23" i="13"/>
  <c r="P23" i="13"/>
  <c r="F30" i="13"/>
  <c r="G30" i="13" s="1"/>
  <c r="H30" i="13" s="1"/>
  <c r="I30" i="13" s="1"/>
  <c r="J30" i="13" s="1"/>
  <c r="K30" i="13" s="1"/>
  <c r="L30" i="13" s="1"/>
  <c r="M30" i="13" s="1"/>
  <c r="N30" i="13" s="1"/>
  <c r="O30" i="13" s="1"/>
  <c r="P30" i="13" s="1"/>
  <c r="Q30" i="13" s="1"/>
  <c r="R30" i="13" s="1"/>
  <c r="S30" i="13" s="1"/>
  <c r="T30" i="13" s="1"/>
  <c r="U30" i="13" s="1"/>
  <c r="V30" i="13" s="1"/>
  <c r="I23" i="13"/>
  <c r="R29" i="13"/>
  <c r="W114" i="12"/>
  <c r="W99" i="12"/>
  <c r="V91" i="12"/>
  <c r="U91" i="12"/>
  <c r="S91" i="12"/>
  <c r="L122" i="12" l="1"/>
  <c r="L119" i="12"/>
  <c r="K123" i="12"/>
  <c r="C31" i="13"/>
  <c r="E31" i="13"/>
  <c r="P31" i="13"/>
  <c r="I31" i="13"/>
  <c r="G31" i="13"/>
  <c r="F31" i="13"/>
  <c r="O31" i="13"/>
  <c r="O32" i="13" s="1"/>
  <c r="U31" i="13"/>
  <c r="Q31" i="13"/>
  <c r="Q32" i="13" s="1"/>
  <c r="R31" i="13"/>
  <c r="V110" i="12"/>
  <c r="V95" i="12"/>
  <c r="W100" i="12"/>
  <c r="U110" i="12"/>
  <c r="U95" i="12"/>
  <c r="S95" i="12"/>
  <c r="S110" i="12"/>
  <c r="M96" i="12"/>
  <c r="W23" i="13"/>
  <c r="C29" i="13"/>
  <c r="T29" i="13"/>
  <c r="L29" i="13"/>
  <c r="L31" i="13" s="1"/>
  <c r="I29" i="13"/>
  <c r="F29" i="13"/>
  <c r="D29" i="13"/>
  <c r="D31" i="13" s="1"/>
  <c r="W30" i="13"/>
  <c r="U29" i="13"/>
  <c r="S29" i="13"/>
  <c r="S31" i="13" s="1"/>
  <c r="W28" i="13"/>
  <c r="N29" i="13"/>
  <c r="H29" i="13"/>
  <c r="H31" i="13" s="1"/>
  <c r="J29" i="13"/>
  <c r="J31" i="13" s="1"/>
  <c r="V29" i="13"/>
  <c r="P29" i="13"/>
  <c r="E29" i="13"/>
  <c r="M29" i="13"/>
  <c r="M31" i="13" s="1"/>
  <c r="G29" i="13"/>
  <c r="K29" i="13"/>
  <c r="R32" i="13"/>
  <c r="I91" i="12"/>
  <c r="L91" i="12"/>
  <c r="D91" i="12"/>
  <c r="N91" i="12"/>
  <c r="E91" i="12"/>
  <c r="O91" i="12"/>
  <c r="M91" i="12"/>
  <c r="F91" i="12"/>
  <c r="P91" i="12"/>
  <c r="G91" i="12"/>
  <c r="Q91" i="12"/>
  <c r="H91" i="12"/>
  <c r="T91" i="12"/>
  <c r="J91" i="12"/>
  <c r="R91" i="12"/>
  <c r="C91" i="12"/>
  <c r="K91" i="12"/>
  <c r="M122" i="12" l="1"/>
  <c r="M119" i="12"/>
  <c r="L123" i="12"/>
  <c r="U32" i="13"/>
  <c r="S32" i="13"/>
  <c r="V31" i="13"/>
  <c r="V32" i="13" s="1"/>
  <c r="T32" i="13"/>
  <c r="T31" i="13"/>
  <c r="F32" i="13"/>
  <c r="N31" i="13"/>
  <c r="N32" i="13" s="1"/>
  <c r="P32" i="13"/>
  <c r="K31" i="13"/>
  <c r="K32" i="13" s="1"/>
  <c r="V104" i="12"/>
  <c r="S104" i="12"/>
  <c r="U104" i="12"/>
  <c r="W120" i="12"/>
  <c r="P110" i="12"/>
  <c r="P95" i="12"/>
  <c r="I95" i="12"/>
  <c r="I110" i="12"/>
  <c r="K95" i="12"/>
  <c r="K97" i="12" s="1"/>
  <c r="K103" i="12" s="1"/>
  <c r="K110" i="12"/>
  <c r="K124" i="12" s="1"/>
  <c r="G110" i="12"/>
  <c r="G95" i="12"/>
  <c r="C95" i="12"/>
  <c r="C97" i="12" s="1"/>
  <c r="C103" i="12" s="1"/>
  <c r="C110" i="12"/>
  <c r="J95" i="12"/>
  <c r="J97" i="12" s="1"/>
  <c r="J103" i="12" s="1"/>
  <c r="J110" i="12"/>
  <c r="J124" i="12" s="1"/>
  <c r="R95" i="12"/>
  <c r="R110" i="12"/>
  <c r="L95" i="12"/>
  <c r="L97" i="12" s="1"/>
  <c r="L103" i="12" s="1"/>
  <c r="L110" i="12"/>
  <c r="F110" i="12"/>
  <c r="F95" i="12"/>
  <c r="T95" i="12"/>
  <c r="T110" i="12"/>
  <c r="N110" i="12"/>
  <c r="N95" i="12"/>
  <c r="M110" i="12"/>
  <c r="M95" i="12"/>
  <c r="M97" i="12" s="1"/>
  <c r="M103" i="12" s="1"/>
  <c r="O110" i="12"/>
  <c r="O95" i="12"/>
  <c r="E110" i="12"/>
  <c r="E95" i="12"/>
  <c r="N96" i="12"/>
  <c r="H110" i="12"/>
  <c r="H95" i="12"/>
  <c r="Q95" i="12"/>
  <c r="Q110" i="12"/>
  <c r="D110" i="12"/>
  <c r="D95" i="12"/>
  <c r="D32" i="13"/>
  <c r="G32" i="13"/>
  <c r="L32" i="13"/>
  <c r="E32" i="13"/>
  <c r="J32" i="13"/>
  <c r="I32" i="13"/>
  <c r="W29" i="13"/>
  <c r="M32" i="13"/>
  <c r="H32" i="13"/>
  <c r="C32" i="13"/>
  <c r="W91" i="12"/>
  <c r="G97" i="12" l="1"/>
  <c r="G103" i="12" s="1"/>
  <c r="N97" i="12"/>
  <c r="N103" i="12" s="1"/>
  <c r="N122" i="12"/>
  <c r="I96" i="12"/>
  <c r="I122" i="12" s="1"/>
  <c r="N119" i="12"/>
  <c r="M123" i="12"/>
  <c r="M124" i="12" s="1"/>
  <c r="L124" i="12"/>
  <c r="C124" i="12"/>
  <c r="C126" i="12" s="1"/>
  <c r="G96" i="12"/>
  <c r="D96" i="12"/>
  <c r="D97" i="12" s="1"/>
  <c r="D103" i="12" s="1"/>
  <c r="F96" i="12"/>
  <c r="F97" i="12" s="1"/>
  <c r="F103" i="12" s="1"/>
  <c r="H96" i="12"/>
  <c r="H97" i="12" s="1"/>
  <c r="H103" i="12" s="1"/>
  <c r="E96" i="12"/>
  <c r="E97" i="12" s="1"/>
  <c r="E103" i="12" s="1"/>
  <c r="I104" i="12"/>
  <c r="F104" i="12"/>
  <c r="C104" i="12"/>
  <c r="C105" i="12" s="1"/>
  <c r="E104" i="12"/>
  <c r="D104" i="12"/>
  <c r="T104" i="12"/>
  <c r="Q104" i="12"/>
  <c r="G104" i="12"/>
  <c r="H104" i="12"/>
  <c r="L104" i="12"/>
  <c r="L105" i="12"/>
  <c r="N104" i="12"/>
  <c r="J104" i="12"/>
  <c r="O104" i="12"/>
  <c r="P104" i="12"/>
  <c r="M104" i="12"/>
  <c r="M105" i="12"/>
  <c r="R104" i="12"/>
  <c r="K104" i="12"/>
  <c r="W110" i="12"/>
  <c r="O96" i="12"/>
  <c r="O97" i="12" s="1"/>
  <c r="O103" i="12" s="1"/>
  <c r="W95" i="12"/>
  <c r="W31" i="13"/>
  <c r="W32" i="13"/>
  <c r="I97" i="12" l="1"/>
  <c r="I103" i="12" s="1"/>
  <c r="I123" i="12"/>
  <c r="O122" i="12"/>
  <c r="E105" i="12"/>
  <c r="E122" i="12"/>
  <c r="E123" i="12" s="1"/>
  <c r="E124" i="12" s="1"/>
  <c r="H105" i="12"/>
  <c r="H122" i="12"/>
  <c r="F105" i="12"/>
  <c r="F122" i="12"/>
  <c r="F123" i="12" s="1"/>
  <c r="F124" i="12" s="1"/>
  <c r="F126" i="12" s="1"/>
  <c r="G105" i="12"/>
  <c r="G122" i="12"/>
  <c r="G123" i="12" s="1"/>
  <c r="G124" i="12" s="1"/>
  <c r="G126" i="12" s="1"/>
  <c r="D105" i="12"/>
  <c r="D122" i="12"/>
  <c r="O119" i="12"/>
  <c r="N123" i="12"/>
  <c r="N124" i="12" s="1"/>
  <c r="N105" i="12"/>
  <c r="I105" i="12"/>
  <c r="K105" i="12"/>
  <c r="J105" i="12"/>
  <c r="O105" i="12"/>
  <c r="E126" i="12"/>
  <c r="J125" i="12"/>
  <c r="J126" i="12" s="1"/>
  <c r="P96" i="12"/>
  <c r="P97" i="12" s="1"/>
  <c r="P103" i="12" s="1"/>
  <c r="W104" i="12"/>
  <c r="P122" i="12" l="1"/>
  <c r="H123" i="12"/>
  <c r="H124" i="12" s="1"/>
  <c r="H126" i="12"/>
  <c r="D123" i="12"/>
  <c r="D124" i="12" s="1"/>
  <c r="D126" i="12"/>
  <c r="I124" i="12"/>
  <c r="I125" i="12" s="1"/>
  <c r="I126" i="12" s="1"/>
  <c r="P119" i="12"/>
  <c r="O123" i="12"/>
  <c r="O124" i="12" s="1"/>
  <c r="P105" i="12"/>
  <c r="K125" i="12"/>
  <c r="K126" i="12" s="1"/>
  <c r="Q96" i="12"/>
  <c r="Q97" i="12" s="1"/>
  <c r="Q103" i="12" s="1"/>
  <c r="Q122" i="12" l="1"/>
  <c r="Q119" i="12"/>
  <c r="P123" i="12"/>
  <c r="P124" i="12" s="1"/>
  <c r="Q105" i="12"/>
  <c r="R96" i="12"/>
  <c r="R97" i="12" s="1"/>
  <c r="R103" i="12" s="1"/>
  <c r="R122" i="12" l="1"/>
  <c r="R119" i="12"/>
  <c r="Q123" i="12"/>
  <c r="R105" i="12"/>
  <c r="M125" i="12"/>
  <c r="M126" i="12" s="1"/>
  <c r="S96" i="12"/>
  <c r="S97" i="12" s="1"/>
  <c r="S103" i="12" s="1"/>
  <c r="S122" i="12" l="1"/>
  <c r="Q124" i="12"/>
  <c r="S119" i="12"/>
  <c r="R123" i="12"/>
  <c r="R124" i="12" s="1"/>
  <c r="S105" i="12"/>
  <c r="L125" i="12"/>
  <c r="N125" i="12"/>
  <c r="N126" i="12" s="1"/>
  <c r="T96" i="12"/>
  <c r="T97" i="12" s="1"/>
  <c r="T103" i="12" s="1"/>
  <c r="T105" i="12" l="1"/>
  <c r="T122" i="12"/>
  <c r="T119" i="12"/>
  <c r="S123" i="12"/>
  <c r="S124" i="12" s="1"/>
  <c r="L126" i="12"/>
  <c r="U96" i="12"/>
  <c r="U97" i="12" s="1"/>
  <c r="U103" i="12" s="1"/>
  <c r="U122" i="12" l="1"/>
  <c r="U119" i="12"/>
  <c r="T123" i="12"/>
  <c r="T124" i="12" s="1"/>
  <c r="U105" i="12"/>
  <c r="P125" i="12"/>
  <c r="P126" i="12" s="1"/>
  <c r="V96" i="12"/>
  <c r="V97" i="12" s="1"/>
  <c r="V103" i="12" s="1"/>
  <c r="V122" i="12" l="1"/>
  <c r="W122" i="12" s="1"/>
  <c r="V119" i="12"/>
  <c r="U123" i="12"/>
  <c r="U124" i="12" s="1"/>
  <c r="O125" i="12"/>
  <c r="Q125" i="12"/>
  <c r="Q126" i="12" s="1"/>
  <c r="W102" i="12"/>
  <c r="W96" i="12"/>
  <c r="W97" i="12" s="1"/>
  <c r="V123" i="12" l="1"/>
  <c r="W119" i="12"/>
  <c r="W103" i="12"/>
  <c r="V105" i="12"/>
  <c r="W105" i="12" s="1"/>
  <c r="O126" i="12"/>
  <c r="R125" i="12"/>
  <c r="R126" i="12" s="1"/>
  <c r="V124" i="12" l="1"/>
  <c r="W123" i="12"/>
  <c r="B143" i="12"/>
  <c r="B144" i="12"/>
  <c r="S125" i="12"/>
  <c r="S126" i="12" s="1"/>
  <c r="T125" i="12" l="1"/>
  <c r="T126" i="12" s="1"/>
  <c r="U125" i="12" l="1"/>
  <c r="U126" i="12" s="1"/>
  <c r="V125" i="12" l="1"/>
  <c r="V126" i="12" s="1"/>
  <c r="W126" i="12" l="1"/>
  <c r="K144" i="12"/>
  <c r="K143" i="12"/>
  <c r="W124" i="12"/>
  <c r="W125" i="12"/>
  <c r="W11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Thitima Manomansaddha</author>
  </authors>
  <commentList>
    <comment ref="A7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1.คุณอภิมุข เดือนละ 70,000 บาท
2.คุณแก้ว เดือนละ 45,000 บาท</t>
        </r>
        <r>
          <rPr>
            <sz val="9"/>
            <color indexed="81"/>
            <rFont val="Tahoma"/>
            <family val="2"/>
          </rPr>
          <t xml:space="preserve">
3.คุณธนยศ เดือนละ 35,000 บาท
4.คุณพาสิน เดือนละ 25,000 บาท
5.คุณจิตเกษม เดือนละ 35,000 บาท
6.คุณคณีงนิตย์ เดือนละ 30,000 บาท
7.คุณฐิติมา เดือนละ 30,000 บาท</t>
        </r>
      </text>
    </comment>
  </commentList>
</comments>
</file>

<file path=xl/sharedStrings.xml><?xml version="1.0" encoding="utf-8"?>
<sst xmlns="http://schemas.openxmlformats.org/spreadsheetml/2006/main" count="883" uniqueCount="180">
  <si>
    <t xml:space="preserve">วัน </t>
  </si>
  <si>
    <t xml:space="preserve">ค่าไฟฟ้า คิดยูนิตละ </t>
  </si>
  <si>
    <t>ประมาณการ</t>
  </si>
  <si>
    <t>รายการ</t>
  </si>
  <si>
    <t>ปีที่ 0</t>
  </si>
  <si>
    <t>ปีที่ 1</t>
  </si>
  <si>
    <t>ปีที่ 2</t>
  </si>
  <si>
    <t>ปีที่ 3</t>
  </si>
  <si>
    <t>ปีที่ 4</t>
  </si>
  <si>
    <t>ปีที่ 5</t>
  </si>
  <si>
    <t>ปีที่ 6</t>
  </si>
  <si>
    <t>ปีที่ 7</t>
  </si>
  <si>
    <t>ปีที่ 8</t>
  </si>
  <si>
    <t>ปีที่ 9</t>
  </si>
  <si>
    <t>ปีที่ 10</t>
  </si>
  <si>
    <t>ปีที่ 11</t>
  </si>
  <si>
    <t>ปีที่ 12</t>
  </si>
  <si>
    <t>ปีที่ 13</t>
  </si>
  <si>
    <t>ปีที่ 14</t>
  </si>
  <si>
    <t>ปีที่ 15</t>
  </si>
  <si>
    <t>ปีที่ 16</t>
  </si>
  <si>
    <t>ปีที่ 17</t>
  </si>
  <si>
    <t>ปีที่ 18</t>
  </si>
  <si>
    <t>ปีที่ 19</t>
  </si>
  <si>
    <t>ปีที่ 20</t>
  </si>
  <si>
    <t>รายจ่าย</t>
  </si>
  <si>
    <t>รายรับ</t>
  </si>
  <si>
    <t>IRR</t>
  </si>
  <si>
    <t>เงินลงทุน (ผู้ลงทุน)</t>
  </si>
  <si>
    <t>เท่า ของเงินลงทุน</t>
  </si>
  <si>
    <t>Break even Point</t>
  </si>
  <si>
    <t xml:space="preserve"> </t>
  </si>
  <si>
    <t>บาท</t>
  </si>
  <si>
    <t>ภาษี</t>
  </si>
  <si>
    <t>NPV (rate 5.0%)</t>
  </si>
  <si>
    <r>
      <t>รายได้บริษัท</t>
    </r>
    <r>
      <rPr>
        <i/>
        <sz val="11"/>
        <color rgb="FFC00000"/>
        <rFont val="Calibri"/>
        <family val="2"/>
        <scheme val="minor"/>
      </rPr>
      <t>ก่อนหักภาษี</t>
    </r>
  </si>
  <si>
    <t>1.ค่าไฟฟ้าจากหน่วยงานที่บริษัทติดตั้ง</t>
  </si>
  <si>
    <t>2.เงินลงทุนจากผู้ร่วมลงทุน</t>
  </si>
  <si>
    <t xml:space="preserve">   ผลิตไฟฟ้าได้วันละ </t>
  </si>
  <si>
    <t xml:space="preserve">   TOU</t>
  </si>
  <si>
    <t xml:space="preserve">         Peak</t>
  </si>
  <si>
    <t xml:space="preserve">        Off Peak</t>
  </si>
  <si>
    <t xml:space="preserve">               จำนวนวันต่อปี</t>
  </si>
  <si>
    <t>บาท/เดือน</t>
  </si>
  <si>
    <t>ค่าบำรุงรักษา</t>
  </si>
  <si>
    <t>(คำนวณจากฐานการลงทุน)</t>
  </si>
  <si>
    <t>ค่าบำรุงรักษา - สำรองค่าบำรุงรักษาตั้งแต่ปีที่ 3 เป็นต้นไป</t>
  </si>
  <si>
    <t>ภาษีธุรกิจ</t>
  </si>
  <si>
    <t>จากกำไรสุทธิ</t>
  </si>
  <si>
    <t>ลงทุนติดตั้งแผงโซล่าร์เซลล์และอุปกรณ์</t>
  </si>
  <si>
    <t>ลงุทนค่าห้องปฏิบัติการ</t>
  </si>
  <si>
    <t>ค่าไฟฟ้าจากหน่วยงาน (ภาพรวม)</t>
  </si>
  <si>
    <t>ค่าใช้จ่ายในการบริหาร (ควบคุมดูแล)</t>
  </si>
  <si>
    <t>ผลตอบแทนให้แก่ IND</t>
  </si>
  <si>
    <t>ค่าใช้จ่ายในการบริหาร  - เดือนละ 300,000 บาท (จำนวน 10 คน)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</si>
  <si>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459.54</t>
    </r>
    <r>
      <rPr>
        <sz val="10"/>
        <rFont val="Tahoma"/>
        <family val="2"/>
      </rPr>
      <t xml:space="preserve"> ยูนิต)</t>
    </r>
  </si>
  <si>
    <t>2.เงินลงทุนจากผู้ร่วมลงทุน (ภาพรวม)</t>
  </si>
  <si>
    <t>ลงทุนค่าห้องปฏิบัติการให้แก่ มทร. (ภาพรวม)</t>
  </si>
  <si>
    <t>ลงทุนติดตั้งแผงโซล่าร์เซลล์ ให้แก่ มทร.เชียงราย</t>
  </si>
  <si>
    <t xml:space="preserve">จ่ายคืนผู้ลงทุน 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</si>
  <si>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604.44</t>
    </r>
    <r>
      <rPr>
        <sz val="10"/>
        <rFont val="Tahoma"/>
        <family val="2"/>
      </rPr>
      <t xml:space="preserve"> ยูนิต)</t>
    </r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</si>
  <si>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341.55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</si>
  <si>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 ให้แก่ มทร.เชียงใหม่</t>
  </si>
  <si>
    <t>ลงทุนติดตั้งแผงโซล่าร์เซลล์ ให้แก่ มทร.ตาก (มิเตอร์ 1)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</si>
  <si>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408.48</t>
    </r>
    <r>
      <rPr>
        <sz val="10"/>
        <rFont val="Tahoma"/>
        <family val="2"/>
      </rPr>
      <t xml:space="preserve"> ยูนิต)</t>
    </r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</si>
  <si>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110.4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</si>
  <si>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ลงทุนติดตั้งแผงโซล่าร์เซลล์และอุปกรณ์ (รายละเอียดตามเอกสารแนบ)</t>
  </si>
  <si>
    <t>ลงทุนติดตั้งแผงโซล่าร์เซลล์ ให้แก่ มทร.ตาก (มิเตอร์ 2)</t>
  </si>
  <si>
    <t>ลงทุนติดตั้งแผงโซล่าร์เซลล์ ให้แก่ มทร.ตาก (มิเตอร์ 3)</t>
  </si>
  <si>
    <t>ลงทุนติดตั้งแผงโซล่าร์เซลล์ ให้แก่ มทร.น่าน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</si>
  <si>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139.38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</si>
  <si>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 ให้แก่ มทร.พิษณุโลก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</si>
  <si>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350.52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</si>
  <si>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 ให้แก่ มทร.ภาคพายัพ เชียงใหม่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</si>
  <si>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999.8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</si>
  <si>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 ให้แก่ มทร.ภาคพายัพ เจ็ดยอด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</si>
  <si>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149.04</t>
    </r>
    <r>
      <rPr>
        <sz val="10"/>
        <rFont val="Tahoma"/>
        <family val="2"/>
      </rPr>
      <t xml:space="preserve"> ยูนิต)</t>
    </r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</si>
  <si>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536.06</t>
    </r>
    <r>
      <rPr>
        <sz val="10"/>
        <rFont val="Tahoma"/>
        <family val="2"/>
      </rPr>
      <t xml:space="preserve"> ยูนิต)</t>
    </r>
  </si>
  <si>
    <t xml:space="preserve">   1.1 มทร.เชียงใหม่</t>
  </si>
  <si>
    <t xml:space="preserve">   1.2 มทร.เชียงราย</t>
  </si>
  <si>
    <t xml:space="preserve">   1.3 มทร.ดอยสะเก็ด</t>
  </si>
  <si>
    <t xml:space="preserve">   1.4  มทร.ตาก(มิเตอร์ 1)</t>
  </si>
  <si>
    <t xml:space="preserve">   1.5  มทร.ตาก(มิเตอร์ 2)</t>
  </si>
  <si>
    <t xml:space="preserve">   1.6  มทร.ตาก(มิเตอร์ 3)</t>
  </si>
  <si>
    <t xml:space="preserve">   1.7  มทร.น่าน</t>
  </si>
  <si>
    <t xml:space="preserve">   1.8  มทร.พิษณุโลก</t>
  </si>
  <si>
    <t xml:space="preserve">   1.9  มทร.ภาคพายัพ เชียงใหม่</t>
  </si>
  <si>
    <t xml:space="preserve">   1.10  มทร.ภาคพายัพ เจ็ดยอด</t>
  </si>
  <si>
    <t xml:space="preserve">   1.11  มทร.ลำปาง</t>
  </si>
  <si>
    <t xml:space="preserve">1.ค่าไฟฟ้าจากหน่วยงานที่บริษัทติดตั้ง จำนวน 11 แห่ง     </t>
  </si>
  <si>
    <t>กำลังการผลิด/ชั่วโมง</t>
  </si>
  <si>
    <t>รวม</t>
  </si>
  <si>
    <t xml:space="preserve">คำนวณการใช้ไฟจริง ปี 2566-67 </t>
  </si>
  <si>
    <t>ประมาณการ การใช้ไฟ</t>
  </si>
  <si>
    <r>
      <t xml:space="preserve">ยูนิต (คำนวณ วันละ  </t>
    </r>
    <r>
      <rPr>
        <sz val="16"/>
        <color rgb="FFFF0000"/>
        <rFont val="Angsana New"/>
        <family val="1"/>
      </rPr>
      <t>5</t>
    </r>
    <r>
      <rPr>
        <sz val="16"/>
        <rFont val="Angsana New"/>
        <family val="1"/>
      </rPr>
      <t xml:space="preserve"> ชม. คิดชม.ละ </t>
    </r>
    <r>
      <rPr>
        <sz val="16"/>
        <color rgb="FFFF0000"/>
        <rFont val="Angsana New"/>
        <family val="1"/>
      </rPr>
      <t>5,000</t>
    </r>
    <r>
      <rPr>
        <sz val="16"/>
        <rFont val="Angsana New"/>
        <family val="1"/>
      </rPr>
      <t xml:space="preserve"> ยูนิต)</t>
    </r>
  </si>
  <si>
    <t>รายได้บริษัท ANE</t>
  </si>
  <si>
    <t>ผลตอบแทนบริษัท ANE</t>
  </si>
  <si>
    <t>EV Charger</t>
  </si>
  <si>
    <t>ประมาณการรายจ่าย</t>
  </si>
  <si>
    <t>ประมาณการรายรับ</t>
  </si>
  <si>
    <t xml:space="preserve">1. ค่าอุปกรณ์การติดตั้งแผงโซล่าร์เซลล์ </t>
  </si>
  <si>
    <t xml:space="preserve">BOQ คำนวณค่าอุปกรณ์การติดตั้งแผงโซล่าร์เซลล์ </t>
  </si>
  <si>
    <t>สมมติฐานค่าใช้จ่ายในการลงทุนฯ (ปีที่ 0-20)</t>
  </si>
  <si>
    <t>IND</t>
  </si>
  <si>
    <t>2. ค่าทำบัญชี เดือนละ 200,000 บาท</t>
  </si>
  <si>
    <t>ANE</t>
  </si>
  <si>
    <t>1. ค่าห้องปฏิบัติการให้แก่ มทร.</t>
  </si>
  <si>
    <t>2. EV Charger</t>
  </si>
  <si>
    <t>4. ค่าติดต่อประสานงาน มทร.</t>
  </si>
  <si>
    <t>บาท/ปี</t>
  </si>
  <si>
    <t>10. ค่าตรวจสอบและทำบัญชี (20 ปี)</t>
  </si>
  <si>
    <t xml:space="preserve">ค่าอุปกรณ์และการติดตั้งแผงโซล่าร์เซลล์ จำนวน 11 แห่ง     </t>
  </si>
  <si>
    <t xml:space="preserve">   1. มทร.เชียงใหม่</t>
  </si>
  <si>
    <t xml:space="preserve">   2. มทร.เชียงราย</t>
  </si>
  <si>
    <t xml:space="preserve">   3. มทร.ดอยสะเก็ด</t>
  </si>
  <si>
    <t xml:space="preserve">   4.  มทร.ตาก(มิเตอร์ 1)</t>
  </si>
  <si>
    <t xml:space="preserve">   5.  มทร.ตาก(มิเตอร์ 2)</t>
  </si>
  <si>
    <t xml:space="preserve">   6.  มทร.ตาก(มิเตอร์ 3)</t>
  </si>
  <si>
    <t xml:space="preserve">   7.  มทร.น่าน</t>
  </si>
  <si>
    <t xml:space="preserve">   8.  มทร.พิษณุโลก</t>
  </si>
  <si>
    <t xml:space="preserve">   9.  มทร.ภาคพายัพ เชียงใหม่</t>
  </si>
  <si>
    <t xml:space="preserve">   10.  มทร.ภาคพายัพ เจ็ดยอด</t>
  </si>
  <si>
    <t xml:space="preserve">   11.  มทร.ลำปาง</t>
  </si>
  <si>
    <t>ปี 2565-2567 (ค่าใช้จ่ายก่อนโครงการ)</t>
  </si>
  <si>
    <t xml:space="preserve">รวมค่าใช้จ่าย </t>
  </si>
  <si>
    <t>ค่าใช้จ่ายโครงการ</t>
  </si>
  <si>
    <t>รายรับในภาพรวม</t>
  </si>
  <si>
    <t xml:space="preserve">รายรับ </t>
  </si>
  <si>
    <t xml:space="preserve"> IND</t>
  </si>
  <si>
    <t>1. ค่าไฟฟ้าจากหน่วยงาน</t>
  </si>
  <si>
    <t>2.ค่าทำบัญชี (อัตราการเพิ่ม 3% ต่อปี)</t>
  </si>
  <si>
    <t>8. ค่าประกันอุบัติเหตุพนักงาน</t>
  </si>
  <si>
    <t>9. ค่าประกันภัยสิ่งปลูกสร้าง</t>
  </si>
  <si>
    <t>รวมค่าใช้จ่าย</t>
  </si>
  <si>
    <t xml:space="preserve"> ANE</t>
  </si>
  <si>
    <t>11. เงินทุนสำรองค่าบำรุงรักษาอุปกรณ์และสิ่งก่อสร้าง</t>
  </si>
  <si>
    <t xml:space="preserve">7. ค่าเช่าสถานที่ทำงาน </t>
  </si>
  <si>
    <t>รายได้หลังหักค่าใช้จ่าย</t>
  </si>
  <si>
    <t>ค่าใช้จ่ายรวม</t>
  </si>
  <si>
    <t xml:space="preserve">6. ค่าเดินทางและน้ำมันเชื้อเพลิง เพื่อไปตรวจสอบสถานที่ 9 แห่ง </t>
  </si>
  <si>
    <t>5. เงินเดือนพนักงาน จำนวน 7 คน  (อัตราเพิ่ม 1% ต่อปี)</t>
  </si>
  <si>
    <t xml:space="preserve">ปีที่ 3-5 คิดอัตรา 0.5 % ของมูลค่าอุปกรณ์ติดตั้ง และ แผงโซล่าร์เซลล์ </t>
  </si>
  <si>
    <t xml:space="preserve">ปีที่ 6-10 คิดอัตรา 0.75% ของมูลค่าอุปกรณ์ติดตั้ง และ แผงโซล่าร์เซลล์ </t>
  </si>
  <si>
    <t>ภาษี (15%)</t>
  </si>
  <si>
    <t xml:space="preserve">ปีที่ 11-15 คิดอัตรา 1% ของมูลค่าอุปกรณ์ติดตั้ง และ แผงโซล่าร์เซลล์ </t>
  </si>
  <si>
    <t xml:space="preserve">ปีที่ 16-20 คิดอัตรา 1.5% ของมูลค่าอุปกรณ์ติดตั้ง และ แผงโซล่าร์เซลล์ </t>
  </si>
  <si>
    <t>12. ภาษี</t>
  </si>
  <si>
    <t>15% จากรายได้หลังจากหักค่าใช้จ่าย</t>
  </si>
  <si>
    <t>2. เงินทุนจาก IND</t>
  </si>
  <si>
    <t>2.ค่าห้องปฏิบัติการ (ตามข้อตกลง)</t>
  </si>
  <si>
    <t>3.ค่าติดตั้ง EV Charger (ตามข้อตกลง)</t>
  </si>
  <si>
    <t>5.ค่าติดต่อประสานงาน มทร.</t>
  </si>
  <si>
    <t>6.ค่าใช้จ่ายในการบริหาร (ควบคุมดูแล)</t>
  </si>
  <si>
    <t>7.ค่าประกันภัยสิ่งปลูกสร้าง</t>
  </si>
  <si>
    <t>8.เงินทุนสำรองค่าบำรุงรักษาอุปกรณ์และสิ่งก่อสร้าง</t>
  </si>
  <si>
    <t>9.ค่าตรวจสอบและทำบัญชี</t>
  </si>
  <si>
    <t>รายได้บริษัท IND</t>
  </si>
  <si>
    <t>4.ค่าก่อสร้างระหว่างดำเนินงาน</t>
  </si>
  <si>
    <t>1.ค่าอุปกรณ์แผงโซล่าเซลล์+อินเวอร์เตอร์+แบตเตอรี่+สายไฟ +ฯลฯ</t>
  </si>
  <si>
    <t>3. ดอกเบี้ย 6% ต่อปี</t>
  </si>
  <si>
    <t>1. ค่าสำรวจพื้นที่และออกแบบงานฯ 11 แห่ง (แห่งละ 150,000 บาท)</t>
  </si>
  <si>
    <t>2. ค่าจ้างทำเว็บเพจบริษัท และค่าเช่า Host ปีละ 120,000 บาท</t>
  </si>
  <si>
    <t>3. เงินเดือนผู้บริหารและผู้ประสานงาน 2 คน เดือนละ 65,000 บาท</t>
  </si>
  <si>
    <t>4. ค่าอุปกรณ์คอมพิวเตอร์ (tablet 2 ตัว ๆ ละ 30,000 บาท)</t>
  </si>
  <si>
    <t>5. ค่าโทรศัพท์/อินเทอร์เนต (เดือนละ 1,200 บาท)</t>
  </si>
  <si>
    <t>6. ค่ารับรอง+จัดประชุม (20 ครั้ง ครั้งละ 50,000 บาท)</t>
  </si>
  <si>
    <t>7. ค่าเบี้ยประชุมกรรมการ (20 ครั้ง ครั้งละ 5,000 บาท)</t>
  </si>
  <si>
    <t xml:space="preserve">8. ค่าโดยสารเครื่องบิน </t>
  </si>
  <si>
    <t>9. ค่าน้ำมันเชื้อเพลิง (เดือนละ 30,000 บาท)</t>
  </si>
  <si>
    <t>10. ค่าที่พักคนงานและรับรองกรรมการบริหาร</t>
  </si>
  <si>
    <t>11. ค่าเช่าสถานที่ทำงานชั่วคราว เดือนละ 30,000 บาท</t>
  </si>
  <si>
    <t>12. ค่าบริจาคหลอดไฟ สายไฟ ให้แก่ มทร. (9 แห่ง)</t>
  </si>
  <si>
    <t>13. ค่าอุปกรณ์ทดสอบระบบ (แบตเตอรี่ สายไฟ หลอดไฟ ฯลฯ)</t>
  </si>
  <si>
    <t>13. ค่าเอกสาร (ก่อนทำโครงการ)</t>
  </si>
  <si>
    <t>3. ค่าก่อสร้าง</t>
  </si>
  <si>
    <t>NPV (rate 6%)</t>
  </si>
  <si>
    <t>10.ดอกเบี้ยจ่ายให้ IND</t>
  </si>
  <si>
    <t>2.ดอกเบี้ย ( 6% ต่อปี)</t>
  </si>
  <si>
    <t>รายได้รวม</t>
  </si>
  <si>
    <t>1.ลงทุนร่วมกับ 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</si>
</sst>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00_);_(* \(#,##0.0000\);_(* &quot;-&quot;??_);_(@_)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ordia New"/>
      <family val="2"/>
    </font>
    <font>
      <sz val="10"/>
      <name val="Tahoma"/>
      <family val="2"/>
    </font>
    <font>
      <sz val="10"/>
      <color rgb="FFFF0000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i/>
      <sz val="10"/>
      <name val="Tahoma"/>
      <family val="2"/>
    </font>
    <font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11"/>
      <color theme="8"/>
      <name val="Calibri"/>
      <family val="2"/>
      <scheme val="minor"/>
    </font>
    <font>
      <b/>
      <i/>
      <sz val="11"/>
      <color theme="8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9" tint="0.79998168889431442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6"/>
      <color theme="1"/>
      <name val="Angsana New"/>
      <family val="1"/>
    </font>
    <font>
      <sz val="16"/>
      <name val="Angsana New"/>
      <family val="1"/>
    </font>
    <font>
      <sz val="16"/>
      <color theme="4" tint="-0.499984740745262"/>
      <name val="Angsana New"/>
      <family val="1"/>
    </font>
    <font>
      <b/>
      <sz val="16"/>
      <color theme="4" tint="-0.499984740745262"/>
      <name val="Angsana New"/>
      <family val="1"/>
    </font>
    <font>
      <b/>
      <sz val="16"/>
      <color theme="1"/>
      <name val="Angsana New"/>
      <family val="1"/>
    </font>
    <font>
      <sz val="16"/>
      <color rgb="FFFF0000"/>
      <name val="Angsana New"/>
      <family val="1"/>
    </font>
    <font>
      <b/>
      <sz val="16"/>
      <name val="Angsana New"/>
      <family val="1"/>
    </font>
    <font>
      <i/>
      <sz val="16"/>
      <name val="Angsana New"/>
      <family val="1"/>
    </font>
    <font>
      <i/>
      <sz val="16"/>
      <color theme="1"/>
      <name val="Angsana New"/>
      <family val="1"/>
    </font>
    <font>
      <b/>
      <i/>
      <sz val="16"/>
      <color rgb="FFFF0000"/>
      <name val="Angsana New"/>
      <family val="1"/>
    </font>
    <font>
      <i/>
      <sz val="16"/>
      <color rgb="FFFF0000"/>
      <name val="Angsana New"/>
      <family val="1"/>
    </font>
    <font>
      <i/>
      <sz val="16"/>
      <color rgb="FFC00000"/>
      <name val="Angsana New"/>
      <family val="1"/>
    </font>
    <font>
      <sz val="16"/>
      <color theme="0"/>
      <name val="Angsana New"/>
      <family val="1"/>
    </font>
    <font>
      <sz val="16"/>
      <color theme="2"/>
      <name val="Angsana New"/>
      <family val="1"/>
    </font>
    <font>
      <b/>
      <i/>
      <sz val="16"/>
      <color theme="1"/>
      <name val="Angsana New"/>
      <family val="1"/>
    </font>
    <font>
      <sz val="16"/>
      <color rgb="FFC00000"/>
      <name val="Angsana New"/>
      <family val="1"/>
    </font>
    <font>
      <b/>
      <sz val="16"/>
      <color rgb="FFFF0000"/>
      <name val="Angsana New"/>
      <family val="1"/>
    </font>
    <font>
      <b/>
      <sz val="18"/>
      <color theme="4" tint="-0.499984740745262"/>
      <name val="Angsana New"/>
      <family val="1"/>
    </font>
    <font>
      <sz val="11"/>
      <color rgb="FF0070C0"/>
      <name val="Arial Black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8" tint="-0.499984740745262"/>
      <name val="Arial Black"/>
      <family val="2"/>
    </font>
    <font>
      <b/>
      <sz val="11"/>
      <color theme="8" tint="-0.499984740745262"/>
      <name val="Calibri"/>
      <family val="2"/>
      <scheme val="minor"/>
    </font>
    <font>
      <b/>
      <i/>
      <sz val="16"/>
      <name val="Angsana New"/>
      <family val="1"/>
    </font>
    <font>
      <b/>
      <i/>
      <sz val="16"/>
      <color rgb="FF0070C0"/>
      <name val="Angsana New"/>
      <family val="1"/>
    </font>
    <font>
      <i/>
      <sz val="16"/>
      <color theme="4" tint="-0.499984740745262"/>
      <name val="Angsana New"/>
      <family val="1"/>
    </font>
    <font>
      <b/>
      <i/>
      <sz val="16"/>
      <color theme="0"/>
      <name val="Angsana New"/>
      <family val="1"/>
    </font>
    <font>
      <b/>
      <sz val="16"/>
      <color theme="3"/>
      <name val="Angsana New"/>
      <family val="1"/>
    </font>
    <font>
      <sz val="16"/>
      <color theme="3"/>
      <name val="Angsana New"/>
      <family val="1"/>
    </font>
    <font>
      <b/>
      <i/>
      <sz val="16"/>
      <color rgb="FFC00000"/>
      <name val="Angsana New"/>
      <family val="1"/>
    </font>
    <font>
      <i/>
      <sz val="16"/>
      <color theme="0"/>
      <name val="Angsana New"/>
      <family val="1"/>
    </font>
    <font>
      <b/>
      <sz val="16"/>
      <color theme="4" tint="-0.249977111117893"/>
      <name val="Angsana New"/>
      <family val="1"/>
    </font>
  </fonts>
  <fills count="1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5117038483843"/>
        <bgColor auto="1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67">
    <xf numFmtId="0" fontId="0" fillId="0" borderId="0" xfId="0"/>
    <xf numFmtId="0" fontId="4" fillId="0" borderId="0" xfId="3" applyFont="1" applyAlignment="1" applyProtection="1">
      <alignment vertical="center"/>
      <protection locked="0"/>
    </xf>
    <xf numFmtId="165" fontId="4" fillId="0" borderId="0" xfId="4" applyNumberFormat="1" applyFont="1" applyFill="1" applyBorder="1" applyAlignment="1" applyProtection="1">
      <alignment vertical="center"/>
      <protection locked="0"/>
    </xf>
    <xf numFmtId="37" fontId="4" fillId="0" borderId="0" xfId="3" applyNumberFormat="1" applyFont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6" fillId="0" borderId="0" xfId="0" applyFont="1"/>
    <xf numFmtId="43" fontId="6" fillId="0" borderId="0" xfId="1" applyFont="1"/>
    <xf numFmtId="43" fontId="6" fillId="0" borderId="0" xfId="0" applyNumberFormat="1" applyFont="1"/>
    <xf numFmtId="0" fontId="6" fillId="0" borderId="0" xfId="0" applyFont="1" applyAlignment="1">
      <alignment horizontal="center"/>
    </xf>
    <xf numFmtId="43" fontId="7" fillId="0" borderId="0" xfId="0" applyNumberFormat="1" applyFont="1"/>
    <xf numFmtId="43" fontId="8" fillId="0" borderId="0" xfId="0" applyNumberFormat="1" applyFont="1"/>
    <xf numFmtId="0" fontId="9" fillId="2" borderId="0" xfId="0" applyFont="1" applyFill="1"/>
    <xf numFmtId="8" fontId="9" fillId="2" borderId="0" xfId="0" applyNumberFormat="1" applyFont="1" applyFill="1"/>
    <xf numFmtId="10" fontId="9" fillId="2" borderId="0" xfId="2" applyNumberFormat="1" applyFont="1" applyFill="1"/>
    <xf numFmtId="0" fontId="10" fillId="0" borderId="0" xfId="0" applyFont="1"/>
    <xf numFmtId="43" fontId="10" fillId="0" borderId="0" xfId="0" applyNumberFormat="1" applyFont="1"/>
    <xf numFmtId="0" fontId="2" fillId="0" borderId="0" xfId="0" applyFont="1"/>
    <xf numFmtId="43" fontId="11" fillId="0" borderId="0" xfId="0" applyNumberFormat="1" applyFont="1"/>
    <xf numFmtId="2" fontId="0" fillId="0" borderId="0" xfId="0" applyNumberFormat="1"/>
    <xf numFmtId="164" fontId="0" fillId="0" borderId="0" xfId="0" applyNumberFormat="1"/>
    <xf numFmtId="43" fontId="9" fillId="2" borderId="0" xfId="1" applyFont="1" applyFill="1"/>
    <xf numFmtId="0" fontId="12" fillId="0" borderId="0" xfId="0" applyFont="1"/>
    <xf numFmtId="43" fontId="12" fillId="0" borderId="0" xfId="0" applyNumberFormat="1" applyFont="1"/>
    <xf numFmtId="0" fontId="13" fillId="0" borderId="0" xfId="3" applyFont="1" applyAlignment="1" applyProtection="1">
      <alignment vertical="center"/>
      <protection locked="0"/>
    </xf>
    <xf numFmtId="0" fontId="14" fillId="3" borderId="0" xfId="3" applyFont="1" applyFill="1" applyAlignment="1" applyProtection="1">
      <alignment vertical="center"/>
      <protection locked="0"/>
    </xf>
    <xf numFmtId="0" fontId="6" fillId="5" borderId="0" xfId="0" applyFont="1" applyFill="1"/>
    <xf numFmtId="43" fontId="6" fillId="5" borderId="0" xfId="0" applyNumberFormat="1" applyFont="1" applyFill="1"/>
    <xf numFmtId="43" fontId="15" fillId="0" borderId="0" xfId="1" applyFont="1"/>
    <xf numFmtId="0" fontId="16" fillId="0" borderId="0" xfId="0" applyFont="1"/>
    <xf numFmtId="43" fontId="16" fillId="0" borderId="0" xfId="0" applyNumberFormat="1" applyFont="1"/>
    <xf numFmtId="166" fontId="4" fillId="4" borderId="0" xfId="1" applyNumberFormat="1" applyFont="1" applyFill="1" applyAlignment="1" applyProtection="1">
      <alignment vertical="center"/>
      <protection locked="0"/>
    </xf>
    <xf numFmtId="0" fontId="17" fillId="0" borderId="0" xfId="0" applyFont="1"/>
    <xf numFmtId="43" fontId="17" fillId="0" borderId="0" xfId="0" applyNumberFormat="1" applyFont="1"/>
    <xf numFmtId="43" fontId="18" fillId="0" borderId="0" xfId="0" applyNumberFormat="1" applyFont="1"/>
    <xf numFmtId="0" fontId="19" fillId="5" borderId="0" xfId="0" applyFont="1" applyFill="1"/>
    <xf numFmtId="0" fontId="19" fillId="0" borderId="0" xfId="0" applyFont="1"/>
    <xf numFmtId="166" fontId="4" fillId="0" borderId="0" xfId="1" applyNumberFormat="1" applyFont="1" applyFill="1" applyAlignment="1" applyProtection="1">
      <alignment vertical="center"/>
      <protection locked="0"/>
    </xf>
    <xf numFmtId="0" fontId="0" fillId="5" borderId="0" xfId="0" applyFill="1"/>
    <xf numFmtId="0" fontId="4" fillId="5" borderId="0" xfId="3" applyFont="1" applyFill="1" applyAlignment="1" applyProtection="1">
      <alignment vertical="center"/>
      <protection locked="0"/>
    </xf>
    <xf numFmtId="37" fontId="4" fillId="5" borderId="0" xfId="3" applyNumberFormat="1" applyFont="1" applyFill="1" applyAlignment="1" applyProtection="1">
      <alignment vertical="center"/>
      <protection locked="0"/>
    </xf>
    <xf numFmtId="166" fontId="4" fillId="5" borderId="0" xfId="1" applyNumberFormat="1" applyFont="1" applyFill="1" applyAlignment="1" applyProtection="1">
      <alignment vertical="center"/>
      <protection locked="0"/>
    </xf>
    <xf numFmtId="9" fontId="4" fillId="0" borderId="0" xfId="2" applyFont="1" applyFill="1" applyAlignment="1" applyProtection="1">
      <alignment vertical="center"/>
      <protection locked="0"/>
    </xf>
    <xf numFmtId="164" fontId="6" fillId="0" borderId="0" xfId="0" applyNumberFormat="1" applyFont="1" applyAlignment="1">
      <alignment horizontal="center"/>
    </xf>
    <xf numFmtId="165" fontId="20" fillId="5" borderId="0" xfId="0" applyNumberFormat="1" applyFont="1" applyFill="1"/>
    <xf numFmtId="43" fontId="21" fillId="0" borderId="0" xfId="1" applyFont="1"/>
    <xf numFmtId="0" fontId="22" fillId="6" borderId="0" xfId="0" applyFont="1" applyFill="1"/>
    <xf numFmtId="0" fontId="22" fillId="0" borderId="0" xfId="0" applyFont="1"/>
    <xf numFmtId="0" fontId="23" fillId="0" borderId="0" xfId="3" applyFont="1" applyAlignment="1" applyProtection="1">
      <alignment vertical="center"/>
      <protection locked="0"/>
    </xf>
    <xf numFmtId="0" fontId="24" fillId="6" borderId="0" xfId="0" applyFont="1" applyFill="1"/>
    <xf numFmtId="43" fontId="22" fillId="6" borderId="0" xfId="1" applyFont="1" applyFill="1"/>
    <xf numFmtId="0" fontId="25" fillId="9" borderId="0" xfId="0" applyFont="1" applyFill="1" applyAlignment="1">
      <alignment horizontal="right"/>
    </xf>
    <xf numFmtId="43" fontId="26" fillId="9" borderId="0" xfId="0" applyNumberFormat="1" applyFont="1" applyFill="1"/>
    <xf numFmtId="0" fontId="24" fillId="0" borderId="0" xfId="0" applyFont="1" applyAlignment="1">
      <alignment horizontal="right"/>
    </xf>
    <xf numFmtId="43" fontId="22" fillId="0" borderId="0" xfId="0" applyNumberFormat="1" applyFont="1"/>
    <xf numFmtId="0" fontId="22" fillId="5" borderId="0" xfId="0" applyFont="1" applyFill="1"/>
    <xf numFmtId="0" fontId="23" fillId="5" borderId="0" xfId="3" applyFont="1" applyFill="1" applyAlignment="1" applyProtection="1">
      <alignment vertical="center"/>
      <protection locked="0"/>
    </xf>
    <xf numFmtId="0" fontId="24" fillId="0" borderId="0" xfId="0" applyFont="1" applyAlignment="1">
      <alignment horizontal="left"/>
    </xf>
    <xf numFmtId="165" fontId="23" fillId="0" borderId="0" xfId="4" applyNumberFormat="1" applyFont="1" applyFill="1" applyBorder="1" applyAlignment="1" applyProtection="1">
      <alignment vertical="center"/>
      <protection locked="0"/>
    </xf>
    <xf numFmtId="0" fontId="28" fillId="0" borderId="0" xfId="3" applyFont="1" applyAlignment="1" applyProtection="1">
      <alignment vertical="center"/>
      <protection locked="0"/>
    </xf>
    <xf numFmtId="0" fontId="29" fillId="3" borderId="0" xfId="3" applyFont="1" applyFill="1" applyAlignment="1" applyProtection="1">
      <alignment vertical="center"/>
      <protection locked="0"/>
    </xf>
    <xf numFmtId="37" fontId="23" fillId="0" borderId="0" xfId="3" applyNumberFormat="1" applyFont="1" applyAlignment="1" applyProtection="1">
      <alignment vertical="center"/>
      <protection locked="0"/>
    </xf>
    <xf numFmtId="166" fontId="23" fillId="4" borderId="0" xfId="1" applyNumberFormat="1" applyFont="1" applyFill="1" applyAlignment="1" applyProtection="1">
      <alignment vertical="center"/>
      <protection locked="0"/>
    </xf>
    <xf numFmtId="0" fontId="24" fillId="0" borderId="0" xfId="0" applyFont="1"/>
    <xf numFmtId="166" fontId="23" fillId="0" borderId="0" xfId="1" applyNumberFormat="1" applyFont="1" applyFill="1" applyAlignment="1" applyProtection="1">
      <alignment vertical="center"/>
      <protection locked="0"/>
    </xf>
    <xf numFmtId="37" fontId="23" fillId="5" borderId="0" xfId="3" applyNumberFormat="1" applyFont="1" applyFill="1" applyAlignment="1" applyProtection="1">
      <alignment vertical="center"/>
      <protection locked="0"/>
    </xf>
    <xf numFmtId="166" fontId="23" fillId="5" borderId="0" xfId="1" applyNumberFormat="1" applyFont="1" applyFill="1" applyAlignment="1" applyProtection="1">
      <alignment vertical="center"/>
      <protection locked="0"/>
    </xf>
    <xf numFmtId="0" fontId="22" fillId="0" borderId="0" xfId="0" applyFont="1" applyAlignment="1">
      <alignment horizontal="center"/>
    </xf>
    <xf numFmtId="0" fontId="30" fillId="0" borderId="0" xfId="0" applyFont="1"/>
    <xf numFmtId="43" fontId="30" fillId="0" borderId="0" xfId="1" applyFont="1"/>
    <xf numFmtId="43" fontId="31" fillId="0" borderId="0" xfId="0" applyNumberFormat="1" applyFont="1"/>
    <xf numFmtId="0" fontId="30" fillId="0" borderId="0" xfId="0" applyFont="1" applyAlignment="1">
      <alignment horizontal="center"/>
    </xf>
    <xf numFmtId="43" fontId="32" fillId="0" borderId="0" xfId="0" applyNumberFormat="1" applyFont="1"/>
    <xf numFmtId="43" fontId="30" fillId="0" borderId="0" xfId="0" applyNumberFormat="1" applyFont="1"/>
    <xf numFmtId="164" fontId="30" fillId="0" borderId="0" xfId="0" applyNumberFormat="1" applyFont="1" applyAlignment="1">
      <alignment horizontal="center"/>
    </xf>
    <xf numFmtId="0" fontId="33" fillId="0" borderId="0" xfId="0" applyFont="1"/>
    <xf numFmtId="43" fontId="33" fillId="0" borderId="0" xfId="0" applyNumberFormat="1" applyFont="1"/>
    <xf numFmtId="0" fontId="34" fillId="0" borderId="0" xfId="0" applyFont="1"/>
    <xf numFmtId="43" fontId="34" fillId="0" borderId="0" xfId="0" applyNumberFormat="1" applyFont="1"/>
    <xf numFmtId="0" fontId="26" fillId="0" borderId="0" xfId="0" applyFont="1"/>
    <xf numFmtId="43" fontId="35" fillId="0" borderId="0" xfId="0" applyNumberFormat="1" applyFont="1"/>
    <xf numFmtId="0" fontId="35" fillId="0" borderId="0" xfId="0" applyFont="1"/>
    <xf numFmtId="0" fontId="36" fillId="2" borderId="0" xfId="0" applyFont="1" applyFill="1"/>
    <xf numFmtId="2" fontId="22" fillId="0" borderId="0" xfId="0" applyNumberFormat="1" applyFont="1"/>
    <xf numFmtId="10" fontId="36" fillId="2" borderId="0" xfId="2" applyNumberFormat="1" applyFont="1" applyFill="1"/>
    <xf numFmtId="43" fontId="36" fillId="2" borderId="0" xfId="1" applyFont="1" applyFill="1"/>
    <xf numFmtId="164" fontId="22" fillId="0" borderId="0" xfId="0" applyNumberFormat="1" applyFont="1"/>
    <xf numFmtId="43" fontId="37" fillId="0" borderId="0" xfId="1" applyFont="1"/>
    <xf numFmtId="43" fontId="37" fillId="0" borderId="0" xfId="0" applyNumberFormat="1" applyFont="1"/>
    <xf numFmtId="0" fontId="38" fillId="0" borderId="0" xfId="0" applyFont="1"/>
    <xf numFmtId="0" fontId="26" fillId="6" borderId="0" xfId="0" applyFont="1" applyFill="1"/>
    <xf numFmtId="0" fontId="25" fillId="5" borderId="0" xfId="0" applyFont="1" applyFill="1"/>
    <xf numFmtId="0" fontId="39" fillId="5" borderId="0" xfId="0" applyFont="1" applyFill="1"/>
    <xf numFmtId="0" fontId="24" fillId="10" borderId="0" xfId="0" applyFont="1" applyFill="1"/>
    <xf numFmtId="43" fontId="22" fillId="10" borderId="0" xfId="1" applyFont="1" applyFill="1"/>
    <xf numFmtId="0" fontId="25" fillId="0" borderId="0" xfId="0" applyFont="1"/>
    <xf numFmtId="37" fontId="28" fillId="0" borderId="0" xfId="3" applyNumberFormat="1" applyFont="1" applyAlignment="1" applyProtection="1">
      <alignment vertical="center"/>
      <protection locked="0"/>
    </xf>
    <xf numFmtId="0" fontId="0" fillId="11" borderId="1" xfId="0" applyFill="1" applyBorder="1" applyAlignment="1">
      <alignment horizontal="left" wrapText="1" indent="1"/>
    </xf>
    <xf numFmtId="0" fontId="40" fillId="5" borderId="1" xfId="0" applyFont="1" applyFill="1" applyBorder="1" applyAlignment="1">
      <alignment horizontal="left" wrapText="1" indent="1"/>
    </xf>
    <xf numFmtId="37" fontId="28" fillId="5" borderId="0" xfId="3" applyNumberFormat="1" applyFont="1" applyFill="1" applyAlignment="1" applyProtection="1">
      <alignment vertical="center"/>
      <protection locked="0"/>
    </xf>
    <xf numFmtId="0" fontId="28" fillId="5" borderId="0" xfId="3" applyFont="1" applyFill="1" applyAlignment="1" applyProtection="1">
      <alignment vertical="center"/>
      <protection locked="0"/>
    </xf>
    <xf numFmtId="43" fontId="0" fillId="11" borderId="1" xfId="1" applyFont="1" applyFill="1" applyBorder="1" applyAlignment="1">
      <alignment horizontal="left" wrapText="1" indent="1"/>
    </xf>
    <xf numFmtId="0" fontId="41" fillId="11" borderId="1" xfId="0" applyFont="1" applyFill="1" applyBorder="1" applyAlignment="1">
      <alignment horizontal="left" wrapText="1" indent="1"/>
    </xf>
    <xf numFmtId="0" fontId="0" fillId="6" borderId="1" xfId="0" applyFill="1" applyBorder="1" applyAlignment="1">
      <alignment horizontal="left" wrapText="1" indent="1"/>
    </xf>
    <xf numFmtId="0" fontId="0" fillId="7" borderId="1" xfId="0" applyFill="1" applyBorder="1" applyAlignment="1">
      <alignment horizontal="left" wrapText="1" indent="1"/>
    </xf>
    <xf numFmtId="43" fontId="0" fillId="7" borderId="1" xfId="1" applyFont="1" applyFill="1" applyBorder="1" applyAlignment="1">
      <alignment horizontal="left" wrapText="1" indent="1"/>
    </xf>
    <xf numFmtId="0" fontId="0" fillId="0" borderId="0" xfId="0" applyAlignment="1">
      <alignment horizontal="left" wrapText="1" indent="1"/>
    </xf>
    <xf numFmtId="43" fontId="0" fillId="0" borderId="0" xfId="1" applyFont="1" applyFill="1" applyBorder="1" applyAlignment="1">
      <alignment horizontal="left" wrapText="1" indent="1"/>
    </xf>
    <xf numFmtId="0" fontId="0" fillId="0" borderId="1" xfId="0" applyBorder="1" applyAlignment="1">
      <alignment horizontal="left" wrapText="1" indent="1"/>
    </xf>
    <xf numFmtId="43" fontId="0" fillId="0" borderId="1" xfId="1" applyFont="1" applyFill="1" applyBorder="1" applyAlignment="1">
      <alignment horizontal="left" wrapText="1" indent="1"/>
    </xf>
    <xf numFmtId="0" fontId="40" fillId="0" borderId="1" xfId="0" applyFont="1" applyBorder="1" applyAlignment="1">
      <alignment horizontal="left" wrapText="1" indent="1"/>
    </xf>
    <xf numFmtId="0" fontId="46" fillId="11" borderId="1" xfId="0" applyFont="1" applyFill="1" applyBorder="1" applyAlignment="1">
      <alignment horizontal="left" wrapText="1" indent="1"/>
    </xf>
    <xf numFmtId="43" fontId="46" fillId="11" borderId="1" xfId="1" applyFont="1" applyFill="1" applyBorder="1" applyAlignment="1">
      <alignment horizontal="left" wrapText="1" indent="1"/>
    </xf>
    <xf numFmtId="0" fontId="47" fillId="2" borderId="1" xfId="0" applyFont="1" applyFill="1" applyBorder="1" applyAlignment="1">
      <alignment horizontal="left" wrapText="1" indent="1"/>
    </xf>
    <xf numFmtId="43" fontId="48" fillId="2" borderId="1" xfId="1" applyFont="1" applyFill="1" applyBorder="1" applyAlignment="1">
      <alignment horizontal="left" wrapText="1" indent="1"/>
    </xf>
    <xf numFmtId="0" fontId="45" fillId="2" borderId="1" xfId="0" applyFont="1" applyFill="1" applyBorder="1" applyAlignment="1">
      <alignment horizontal="left" wrapText="1" indent="1"/>
    </xf>
    <xf numFmtId="43" fontId="30" fillId="0" borderId="0" xfId="0" applyNumberFormat="1" applyFont="1" applyAlignment="1">
      <alignment horizontal="center"/>
    </xf>
    <xf numFmtId="43" fontId="31" fillId="10" borderId="0" xfId="0" applyNumberFormat="1" applyFont="1" applyFill="1"/>
    <xf numFmtId="43" fontId="50" fillId="0" borderId="0" xfId="0" applyNumberFormat="1" applyFont="1"/>
    <xf numFmtId="0" fontId="51" fillId="13" borderId="0" xfId="0" applyFont="1" applyFill="1"/>
    <xf numFmtId="43" fontId="51" fillId="13" borderId="0" xfId="0" applyNumberFormat="1" applyFont="1" applyFill="1"/>
    <xf numFmtId="43" fontId="52" fillId="14" borderId="0" xfId="0" applyNumberFormat="1" applyFont="1" applyFill="1"/>
    <xf numFmtId="0" fontId="52" fillId="14" borderId="0" xfId="0" applyFont="1" applyFill="1"/>
    <xf numFmtId="43" fontId="49" fillId="0" borderId="0" xfId="0" applyNumberFormat="1" applyFont="1"/>
    <xf numFmtId="0" fontId="30" fillId="6" borderId="6" xfId="0" applyFont="1" applyFill="1" applyBorder="1"/>
    <xf numFmtId="43" fontId="30" fillId="6" borderId="6" xfId="1" applyFont="1" applyFill="1" applyBorder="1"/>
    <xf numFmtId="43" fontId="31" fillId="6" borderId="6" xfId="0" applyNumberFormat="1" applyFont="1" applyFill="1" applyBorder="1"/>
    <xf numFmtId="0" fontId="53" fillId="6" borderId="7" xfId="0" applyFont="1" applyFill="1" applyBorder="1"/>
    <xf numFmtId="0" fontId="22" fillId="6" borderId="8" xfId="0" applyFont="1" applyFill="1" applyBorder="1"/>
    <xf numFmtId="0" fontId="22" fillId="6" borderId="9" xfId="0" applyFont="1" applyFill="1" applyBorder="1"/>
    <xf numFmtId="0" fontId="26" fillId="12" borderId="5" xfId="0" applyFont="1" applyFill="1" applyBorder="1" applyAlignment="1">
      <alignment horizontal="center"/>
    </xf>
    <xf numFmtId="0" fontId="54" fillId="0" borderId="0" xfId="0" applyFont="1"/>
    <xf numFmtId="43" fontId="54" fillId="0" borderId="0" xfId="0" applyNumberFormat="1" applyFont="1"/>
    <xf numFmtId="43" fontId="55" fillId="0" borderId="0" xfId="0" applyNumberFormat="1" applyFont="1"/>
    <xf numFmtId="43" fontId="42" fillId="11" borderId="2" xfId="1" applyFont="1" applyFill="1" applyBorder="1" applyAlignment="1">
      <alignment horizontal="center" wrapText="1"/>
    </xf>
    <xf numFmtId="43" fontId="42" fillId="11" borderId="3" xfId="1" applyFont="1" applyFill="1" applyBorder="1" applyAlignment="1">
      <alignment horizontal="center" wrapText="1"/>
    </xf>
    <xf numFmtId="43" fontId="42" fillId="11" borderId="2" xfId="1" applyFont="1" applyFill="1" applyBorder="1" applyAlignment="1">
      <alignment horizontal="left" wrapText="1"/>
    </xf>
    <xf numFmtId="43" fontId="42" fillId="11" borderId="3" xfId="1" applyFont="1" applyFill="1" applyBorder="1" applyAlignment="1">
      <alignment horizontal="left" wrapText="1"/>
    </xf>
    <xf numFmtId="0" fontId="2" fillId="8" borderId="2" xfId="0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 wrapText="1"/>
    </xf>
    <xf numFmtId="43" fontId="32" fillId="13" borderId="0" xfId="0" applyNumberFormat="1" applyFont="1" applyFill="1"/>
    <xf numFmtId="43" fontId="31" fillId="2" borderId="0" xfId="1" applyNumberFormat="1" applyFont="1" applyFill="1"/>
    <xf numFmtId="0" fontId="52" fillId="15" borderId="0" xfId="0" applyFont="1" applyFill="1"/>
    <xf numFmtId="43" fontId="30" fillId="15" borderId="0" xfId="1" applyFont="1" applyFill="1"/>
    <xf numFmtId="0" fontId="30" fillId="15" borderId="0" xfId="0" applyFont="1" applyFill="1" applyAlignment="1">
      <alignment horizontal="center"/>
    </xf>
    <xf numFmtId="43" fontId="31" fillId="15" borderId="0" xfId="0" applyNumberFormat="1" applyFont="1" applyFill="1"/>
    <xf numFmtId="0" fontId="38" fillId="6" borderId="0" xfId="0" applyFont="1" applyFill="1"/>
    <xf numFmtId="43" fontId="30" fillId="6" borderId="0" xfId="1" applyFont="1" applyFill="1"/>
    <xf numFmtId="0" fontId="30" fillId="6" borderId="0" xfId="0" applyFont="1" applyFill="1" applyAlignment="1">
      <alignment horizontal="center"/>
    </xf>
    <xf numFmtId="43" fontId="31" fillId="6" borderId="0" xfId="0" applyNumberFormat="1" applyFont="1" applyFill="1"/>
    <xf numFmtId="164" fontId="30" fillId="6" borderId="0" xfId="0" applyNumberFormat="1" applyFont="1" applyFill="1" applyAlignment="1">
      <alignment horizontal="center"/>
    </xf>
    <xf numFmtId="0" fontId="32" fillId="6" borderId="0" xfId="0" applyFont="1" applyFill="1"/>
    <xf numFmtId="43" fontId="32" fillId="6" borderId="0" xfId="0" applyNumberFormat="1" applyFont="1" applyFill="1"/>
    <xf numFmtId="43" fontId="52" fillId="15" borderId="0" xfId="0" applyNumberFormat="1" applyFont="1" applyFill="1"/>
    <xf numFmtId="0" fontId="30" fillId="10" borderId="0" xfId="0" applyFont="1" applyFill="1"/>
    <xf numFmtId="43" fontId="32" fillId="10" borderId="0" xfId="0" applyNumberFormat="1" applyFont="1" applyFill="1"/>
    <xf numFmtId="43" fontId="29" fillId="10" borderId="0" xfId="0" applyNumberFormat="1" applyFont="1" applyFill="1"/>
    <xf numFmtId="43" fontId="30" fillId="14" borderId="0" xfId="1" applyFont="1" applyFill="1"/>
    <xf numFmtId="0" fontId="30" fillId="14" borderId="0" xfId="0" applyFont="1" applyFill="1" applyAlignment="1">
      <alignment horizontal="center"/>
    </xf>
    <xf numFmtId="43" fontId="31" fillId="14" borderId="0" xfId="0" applyNumberFormat="1" applyFont="1" applyFill="1"/>
    <xf numFmtId="0" fontId="56" fillId="14" borderId="0" xfId="0" applyFont="1" applyFill="1"/>
    <xf numFmtId="0" fontId="57" fillId="0" borderId="0" xfId="0" applyFont="1"/>
    <xf numFmtId="43" fontId="32" fillId="2" borderId="0" xfId="0" applyNumberFormat="1" applyFont="1" applyFill="1"/>
    <xf numFmtId="43" fontId="49" fillId="2" borderId="0" xfId="0" applyNumberFormat="1" applyFont="1" applyFill="1"/>
    <xf numFmtId="0" fontId="36" fillId="0" borderId="0" xfId="0" applyFont="1"/>
    <xf numFmtId="0" fontId="36" fillId="2" borderId="0" xfId="0" applyFont="1" applyFill="1" applyAlignment="1">
      <alignment horizontal="left"/>
    </xf>
    <xf numFmtId="10" fontId="36" fillId="0" borderId="0" xfId="2" applyNumberFormat="1" applyFont="1" applyFill="1"/>
  </cellXfs>
  <cellStyles count="5">
    <cellStyle name="Normal_ch19" xfId="3" xr:uid="{00000000-0005-0000-0000-000002000000}"/>
    <cellStyle name="เครื่องหมายจุลภาค_EXCEL7" xfId="4" xr:uid="{00000000-0005-0000-0000-000004000000}"/>
    <cellStyle name="เปอร์เซ็นต์" xfId="2" builtinId="5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ภาพรวม!$B$105:$V$105</c:f>
              <c:numCache>
                <c:formatCode>_(* #,##0.00_);_(* \(#,##0.00\);_(* "-"??_);_(@_)</c:formatCode>
                <c:ptCount val="21"/>
                <c:pt idx="0">
                  <c:v>-128200000</c:v>
                </c:pt>
                <c:pt idx="1">
                  <c:v>23228394.786272857</c:v>
                </c:pt>
                <c:pt idx="2">
                  <c:v>21819265.17730239</c:v>
                </c:pt>
                <c:pt idx="3">
                  <c:v>20407975.568331927</c:v>
                </c:pt>
                <c:pt idx="4">
                  <c:v>18994461.159361463</c:v>
                </c:pt>
                <c:pt idx="5">
                  <c:v>17578655.206390999</c:v>
                </c:pt>
                <c:pt idx="6">
                  <c:v>16160488.963100534</c:v>
                </c:pt>
                <c:pt idx="7">
                  <c:v>8722808.3804133795</c:v>
                </c:pt>
                <c:pt idx="8">
                  <c:v>8191049.4644008446</c:v>
                </c:pt>
                <c:pt idx="9">
                  <c:v>8102498.5460902546</c:v>
                </c:pt>
                <c:pt idx="10">
                  <c:v>8011291.1002303455</c:v>
                </c:pt>
                <c:pt idx="11">
                  <c:v>7917347.430994641</c:v>
                </c:pt>
                <c:pt idx="12">
                  <c:v>7820585.4516818635</c:v>
                </c:pt>
                <c:pt idx="13">
                  <c:v>7720920.6129897032</c:v>
                </c:pt>
                <c:pt idx="14">
                  <c:v>7618265.8291367777</c:v>
                </c:pt>
                <c:pt idx="15">
                  <c:v>7512531.4017682653</c:v>
                </c:pt>
                <c:pt idx="16">
                  <c:v>7403624.9415786974</c:v>
                </c:pt>
                <c:pt idx="17">
                  <c:v>7291451.2875834405</c:v>
                </c:pt>
                <c:pt idx="18">
                  <c:v>7175912.4239683282</c:v>
                </c:pt>
                <c:pt idx="19">
                  <c:v>7056907.3944447618</c:v>
                </c:pt>
                <c:pt idx="20">
                  <c:v>6934332.2140354887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0F-4D02-820A-FB1A86BB3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1996056"/>
        <c:axId val="571994416"/>
        <c:axId val="0"/>
      </c:bar3DChart>
      <c:catAx>
        <c:axId val="571996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994416"/>
        <c:crosses val="autoZero"/>
        <c:auto val="1"/>
        <c:lblAlgn val="ctr"/>
        <c:lblOffset val="100"/>
        <c:noMultiLvlLbl val="0"/>
      </c:catAx>
      <c:valAx>
        <c:axId val="57199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996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ภาพรวม!$B$126:$V$126</c:f>
              <c:numCache>
                <c:formatCode>_(* #,##0.00_);_(* \(#,##0.00\);_(* "-"??_);_(@_)</c:formatCode>
                <c:ptCount val="21"/>
                <c:pt idx="0">
                  <c:v>-61760000</c:v>
                </c:pt>
                <c:pt idx="1">
                  <c:v>-6388626.6292897323</c:v>
                </c:pt>
                <c:pt idx="2">
                  <c:v>-5083897.0203192672</c:v>
                </c:pt>
                <c:pt idx="3">
                  <c:v>-4396767.411348803</c:v>
                </c:pt>
                <c:pt idx="4">
                  <c:v>-3059637.8023783388</c:v>
                </c:pt>
                <c:pt idx="5">
                  <c:v>-1722508.1934078746</c:v>
                </c:pt>
                <c:pt idx="6">
                  <c:v>-710378.58443741011</c:v>
                </c:pt>
                <c:pt idx="7">
                  <c:v>7121691.6880400442</c:v>
                </c:pt>
                <c:pt idx="8">
                  <c:v>7502222.7367034368</c:v>
                </c:pt>
                <c:pt idx="9">
                  <c:v>7503883.0664217602</c:v>
                </c:pt>
                <c:pt idx="10">
                  <c:v>7505593.2060316335</c:v>
                </c:pt>
                <c:pt idx="11">
                  <c:v>7231104.649829803</c:v>
                </c:pt>
                <c:pt idx="12">
                  <c:v>7232918.936941918</c:v>
                </c:pt>
                <c:pt idx="13">
                  <c:v>7234787.6526673958</c:v>
                </c:pt>
                <c:pt idx="14">
                  <c:v>7236712.4298646376</c:v>
                </c:pt>
                <c:pt idx="15">
                  <c:v>7238694.9503777977</c:v>
                </c:pt>
                <c:pt idx="16">
                  <c:v>6688236.9465063522</c:v>
                </c:pt>
                <c:pt idx="17">
                  <c:v>6690340.202518763</c:v>
                </c:pt>
                <c:pt idx="18">
                  <c:v>6692506.5562115461</c:v>
                </c:pt>
                <c:pt idx="19">
                  <c:v>6694737.900515113</c:v>
                </c:pt>
                <c:pt idx="20">
                  <c:v>6697036.1851477874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2-4E83-9EFB-552F2E5E8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1726776"/>
        <c:axId val="571727104"/>
        <c:axId val="0"/>
      </c:bar3DChart>
      <c:catAx>
        <c:axId val="571726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727104"/>
        <c:crosses val="autoZero"/>
        <c:auto val="1"/>
        <c:lblAlgn val="ctr"/>
        <c:lblOffset val="100"/>
        <c:noMultiLvlLbl val="0"/>
      </c:catAx>
      <c:valAx>
        <c:axId val="57172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726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 รายได้ บริษัท </a:t>
            </a:r>
            <a:r>
              <a:rPr lang="en-US" b="1">
                <a:solidFill>
                  <a:srgbClr val="0070C0"/>
                </a:solidFill>
              </a:rPr>
              <a:t>IND</a:t>
            </a:r>
            <a:r>
              <a:rPr lang="th-TH"/>
              <a:t> และ </a:t>
            </a:r>
            <a:r>
              <a:rPr lang="en-US" b="1">
                <a:solidFill>
                  <a:schemeClr val="accent2"/>
                </a:solidFill>
              </a:rPr>
              <a:t>ANE</a:t>
            </a:r>
          </a:p>
        </c:rich>
      </c:tx>
      <c:layout>
        <c:manualLayout>
          <c:xMode val="edge"/>
          <c:yMode val="edge"/>
          <c:x val="0.34775223478291267"/>
          <c:y val="6.83447631083993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ภาพรวม!$A$105</c:f>
              <c:strCache>
                <c:ptCount val="1"/>
                <c:pt idx="0">
                  <c:v>รายได้บริษัท IND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ภาพรวม!$B$105:$W$105</c:f>
              <c:numCache>
                <c:formatCode>_(* #,##0.00_);_(* \(#,##0.00\);_(* "-"??_);_(@_)</c:formatCode>
                <c:ptCount val="22"/>
                <c:pt idx="0">
                  <c:v>-128200000</c:v>
                </c:pt>
                <c:pt idx="1">
                  <c:v>23228394.786272857</c:v>
                </c:pt>
                <c:pt idx="2">
                  <c:v>21819265.17730239</c:v>
                </c:pt>
                <c:pt idx="3">
                  <c:v>20407975.568331927</c:v>
                </c:pt>
                <c:pt idx="4">
                  <c:v>18994461.159361463</c:v>
                </c:pt>
                <c:pt idx="5">
                  <c:v>17578655.206390999</c:v>
                </c:pt>
                <c:pt idx="6">
                  <c:v>16160488.963100534</c:v>
                </c:pt>
                <c:pt idx="7">
                  <c:v>8722808.3804133795</c:v>
                </c:pt>
                <c:pt idx="8">
                  <c:v>8191049.4644008446</c:v>
                </c:pt>
                <c:pt idx="9">
                  <c:v>8102498.5460902546</c:v>
                </c:pt>
                <c:pt idx="10">
                  <c:v>8011291.1002303455</c:v>
                </c:pt>
                <c:pt idx="11">
                  <c:v>7917347.430994641</c:v>
                </c:pt>
                <c:pt idx="12">
                  <c:v>7820585.4516818635</c:v>
                </c:pt>
                <c:pt idx="13">
                  <c:v>7720920.6129897032</c:v>
                </c:pt>
                <c:pt idx="14">
                  <c:v>7618265.8291367777</c:v>
                </c:pt>
                <c:pt idx="15">
                  <c:v>7512531.4017682653</c:v>
                </c:pt>
                <c:pt idx="16">
                  <c:v>7403624.9415786974</c:v>
                </c:pt>
                <c:pt idx="17">
                  <c:v>7291451.2875834405</c:v>
                </c:pt>
                <c:pt idx="18">
                  <c:v>7175912.4239683282</c:v>
                </c:pt>
                <c:pt idx="19">
                  <c:v>7056907.3944447618</c:v>
                </c:pt>
                <c:pt idx="20">
                  <c:v>6934332.2140354887</c:v>
                </c:pt>
                <c:pt idx="21">
                  <c:v>97468767.340076983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5-4F47-9DBA-C8C1B234816B}"/>
            </c:ext>
          </c:extLst>
        </c:ser>
        <c:ser>
          <c:idx val="1"/>
          <c:order val="1"/>
          <c:tx>
            <c:strRef>
              <c:f>ภาพรวม!$A$126</c:f>
              <c:strCache>
                <c:ptCount val="1"/>
                <c:pt idx="0">
                  <c:v>รายได้บริษัท ANE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ภาพรวม!$B$126:$W$126</c:f>
              <c:numCache>
                <c:formatCode>_(* #,##0.00_);_(* \(#,##0.00\);_(* "-"??_);_(@_)</c:formatCode>
                <c:ptCount val="22"/>
                <c:pt idx="0">
                  <c:v>-61760000</c:v>
                </c:pt>
                <c:pt idx="1">
                  <c:v>-6388626.6292897323</c:v>
                </c:pt>
                <c:pt idx="2">
                  <c:v>-5083897.0203192672</c:v>
                </c:pt>
                <c:pt idx="3">
                  <c:v>-4396767.411348803</c:v>
                </c:pt>
                <c:pt idx="4">
                  <c:v>-3059637.8023783388</c:v>
                </c:pt>
                <c:pt idx="5">
                  <c:v>-1722508.1934078746</c:v>
                </c:pt>
                <c:pt idx="6">
                  <c:v>-710378.58443741011</c:v>
                </c:pt>
                <c:pt idx="7">
                  <c:v>7121691.6880400442</c:v>
                </c:pt>
                <c:pt idx="8">
                  <c:v>7502222.7367034368</c:v>
                </c:pt>
                <c:pt idx="9">
                  <c:v>7503883.0664217602</c:v>
                </c:pt>
                <c:pt idx="10">
                  <c:v>7505593.2060316335</c:v>
                </c:pt>
                <c:pt idx="11">
                  <c:v>7231104.649829803</c:v>
                </c:pt>
                <c:pt idx="12">
                  <c:v>7232918.936941918</c:v>
                </c:pt>
                <c:pt idx="13">
                  <c:v>7234787.6526673958</c:v>
                </c:pt>
                <c:pt idx="14">
                  <c:v>7236712.4298646376</c:v>
                </c:pt>
                <c:pt idx="15">
                  <c:v>7238694.9503777977</c:v>
                </c:pt>
                <c:pt idx="16">
                  <c:v>6688236.9465063522</c:v>
                </c:pt>
                <c:pt idx="17">
                  <c:v>6690340.202518763</c:v>
                </c:pt>
                <c:pt idx="18">
                  <c:v>6692506.5562115461</c:v>
                </c:pt>
                <c:pt idx="19">
                  <c:v>6694737.900515113</c:v>
                </c:pt>
                <c:pt idx="20">
                  <c:v>6697036.1851477874</c:v>
                </c:pt>
                <c:pt idx="21">
                  <c:v>16148651.466596566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5-4F47-9DBA-C8C1B2348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2003272"/>
        <c:axId val="572003600"/>
        <c:axId val="0"/>
      </c:bar3DChart>
      <c:catAx>
        <c:axId val="5720032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003600"/>
        <c:crosses val="autoZero"/>
        <c:auto val="1"/>
        <c:lblAlgn val="ctr"/>
        <c:lblOffset val="100"/>
        <c:noMultiLvlLbl val="0"/>
      </c:catAx>
      <c:valAx>
        <c:axId val="57200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003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113527</xdr:colOff>
      <xdr:row>127</xdr:row>
      <xdr:rowOff>4232</xdr:rowOff>
    </xdr:from>
    <xdr:to>
      <xdr:col>2</xdr:col>
      <xdr:colOff>615758</xdr:colOff>
      <xdr:row>140</xdr:row>
      <xdr:rowOff>161637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26937</xdr:colOff>
      <xdr:row>127</xdr:row>
      <xdr:rowOff>77355</xdr:rowOff>
    </xdr:from>
    <xdr:to>
      <xdr:col>12</xdr:col>
      <xdr:colOff>163560</xdr:colOff>
      <xdr:row>140</xdr:row>
      <xdr:rowOff>265546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147</xdr:row>
      <xdr:rowOff>152401</xdr:rowOff>
    </xdr:from>
    <xdr:to>
      <xdr:col>13</xdr:col>
      <xdr:colOff>615757</xdr:colOff>
      <xdr:row>171</xdr:row>
      <xdr:rowOff>202046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5"/>
  <sheetViews>
    <sheetView tabSelected="1" topLeftCell="B91" zoomScale="99" zoomScaleNormal="99" workbookViewId="0">
      <selection activeCell="F129" sqref="F129"/>
    </sheetView>
  </sheetViews>
  <sheetFormatPr defaultColWidth="8.85546875" defaultRowHeight="23.25" x14ac:dyDescent="0.5"/>
  <cols>
    <col min="1" max="1" width="59.5703125" style="46" customWidth="1"/>
    <col min="2" max="2" width="16.7109375" style="46" customWidth="1"/>
    <col min="3" max="3" width="17" style="46" customWidth="1"/>
    <col min="4" max="4" width="14.5703125" style="46" customWidth="1"/>
    <col min="5" max="5" width="14.7109375" style="46" customWidth="1"/>
    <col min="6" max="7" width="14.85546875" style="46" bestFit="1" customWidth="1"/>
    <col min="8" max="8" width="15.85546875" style="46" bestFit="1" customWidth="1"/>
    <col min="9" max="19" width="14.85546875" style="46" bestFit="1" customWidth="1"/>
    <col min="20" max="20" width="15.28515625" style="46" customWidth="1"/>
    <col min="21" max="21" width="15" style="46" customWidth="1"/>
    <col min="22" max="22" width="14.7109375" style="46" customWidth="1"/>
    <col min="23" max="23" width="17.85546875" style="46" customWidth="1"/>
    <col min="24" max="16384" width="8.85546875" style="46"/>
  </cols>
  <sheetData>
    <row r="1" spans="1:4" x14ac:dyDescent="0.5">
      <c r="A1" s="89" t="s">
        <v>92</v>
      </c>
      <c r="B1" s="45"/>
      <c r="D1" s="47"/>
    </row>
    <row r="2" spans="1:4" x14ac:dyDescent="0.5">
      <c r="A2" s="48" t="s">
        <v>89</v>
      </c>
      <c r="B2" s="45" t="s">
        <v>90</v>
      </c>
      <c r="D2" s="47"/>
    </row>
    <row r="3" spans="1:4" x14ac:dyDescent="0.5">
      <c r="A3" s="48" t="s">
        <v>78</v>
      </c>
      <c r="B3" s="49">
        <v>604.44000000000005</v>
      </c>
      <c r="D3" s="47"/>
    </row>
    <row r="4" spans="1:4" x14ac:dyDescent="0.5">
      <c r="A4" s="48" t="s">
        <v>79</v>
      </c>
      <c r="B4" s="49">
        <v>459.54</v>
      </c>
      <c r="D4" s="47"/>
    </row>
    <row r="5" spans="1:4" x14ac:dyDescent="0.5">
      <c r="A5" s="48" t="s">
        <v>80</v>
      </c>
      <c r="B5" s="49">
        <v>341.55</v>
      </c>
      <c r="D5" s="47"/>
    </row>
    <row r="6" spans="1:4" x14ac:dyDescent="0.5">
      <c r="A6" s="48" t="s">
        <v>81</v>
      </c>
      <c r="B6" s="49">
        <v>408.48</v>
      </c>
      <c r="D6" s="47"/>
    </row>
    <row r="7" spans="1:4" x14ac:dyDescent="0.5">
      <c r="A7" s="48" t="s">
        <v>82</v>
      </c>
      <c r="B7" s="49">
        <v>110.4</v>
      </c>
      <c r="D7" s="47"/>
    </row>
    <row r="8" spans="1:4" x14ac:dyDescent="0.5">
      <c r="A8" s="48" t="s">
        <v>83</v>
      </c>
      <c r="B8" s="49">
        <v>408.48</v>
      </c>
      <c r="D8" s="47"/>
    </row>
    <row r="9" spans="1:4" x14ac:dyDescent="0.5">
      <c r="A9" s="48" t="s">
        <v>84</v>
      </c>
      <c r="B9" s="49">
        <v>139.38</v>
      </c>
      <c r="D9" s="47"/>
    </row>
    <row r="10" spans="1:4" x14ac:dyDescent="0.5">
      <c r="A10" s="48" t="s">
        <v>85</v>
      </c>
      <c r="B10" s="49">
        <v>350.52</v>
      </c>
      <c r="D10" s="47"/>
    </row>
    <row r="11" spans="1:4" x14ac:dyDescent="0.5">
      <c r="A11" s="48" t="s">
        <v>86</v>
      </c>
      <c r="B11" s="49">
        <v>999.8</v>
      </c>
      <c r="D11" s="47"/>
    </row>
    <row r="12" spans="1:4" x14ac:dyDescent="0.5">
      <c r="A12" s="48" t="s">
        <v>87</v>
      </c>
      <c r="B12" s="49">
        <v>149.04</v>
      </c>
      <c r="D12" s="47"/>
    </row>
    <row r="13" spans="1:4" x14ac:dyDescent="0.5">
      <c r="A13" s="48" t="s">
        <v>88</v>
      </c>
      <c r="B13" s="49">
        <v>536.05999999999995</v>
      </c>
      <c r="D13" s="47"/>
    </row>
    <row r="14" spans="1:4" x14ac:dyDescent="0.5">
      <c r="A14" s="92" t="s">
        <v>97</v>
      </c>
      <c r="B14" s="93">
        <v>500</v>
      </c>
      <c r="D14" s="47"/>
    </row>
    <row r="15" spans="1:4" x14ac:dyDescent="0.5">
      <c r="A15" s="50" t="s">
        <v>91</v>
      </c>
      <c r="B15" s="51">
        <f>SUM(B3:B14)</f>
        <v>5007.6900000000005</v>
      </c>
      <c r="C15" s="53"/>
      <c r="D15" s="47"/>
    </row>
    <row r="16" spans="1:4" x14ac:dyDescent="0.5">
      <c r="A16" s="52"/>
      <c r="B16" s="53"/>
      <c r="D16" s="47"/>
    </row>
    <row r="17" spans="1:22" ht="26.25" x14ac:dyDescent="0.55000000000000004">
      <c r="A17" s="91" t="s">
        <v>99</v>
      </c>
      <c r="B17" s="54"/>
      <c r="C17" s="54"/>
      <c r="D17" s="55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</row>
    <row r="18" spans="1:22" x14ac:dyDescent="0.5">
      <c r="A18" s="52"/>
      <c r="B18" s="53"/>
      <c r="D18" s="47"/>
    </row>
    <row r="19" spans="1:22" x14ac:dyDescent="0.5">
      <c r="A19" s="56" t="s">
        <v>93</v>
      </c>
      <c r="B19" s="53"/>
      <c r="D19" s="47"/>
    </row>
    <row r="20" spans="1:22" x14ac:dyDescent="0.5">
      <c r="A20" s="47" t="s">
        <v>38</v>
      </c>
      <c r="B20" s="57">
        <f>B15*5</f>
        <v>25038.450000000004</v>
      </c>
      <c r="C20" s="47" t="s">
        <v>94</v>
      </c>
      <c r="D20" s="47"/>
    </row>
    <row r="21" spans="1:22" x14ac:dyDescent="0.5">
      <c r="A21" s="58" t="s">
        <v>39</v>
      </c>
      <c r="B21" s="57"/>
      <c r="C21" s="47"/>
      <c r="D21" s="47"/>
    </row>
    <row r="22" spans="1:22" x14ac:dyDescent="0.5">
      <c r="A22" s="59" t="s">
        <v>40</v>
      </c>
      <c r="B22" s="57"/>
      <c r="C22" s="47"/>
      <c r="D22" s="47"/>
    </row>
    <row r="23" spans="1:22" x14ac:dyDescent="0.5">
      <c r="A23" s="60" t="s">
        <v>42</v>
      </c>
      <c r="B23" s="60">
        <v>246</v>
      </c>
      <c r="C23" s="47" t="s">
        <v>0</v>
      </c>
      <c r="D23" s="47" t="s">
        <v>1</v>
      </c>
      <c r="F23" s="61">
        <f>3.3471*1.07</f>
        <v>3.5813970000000004</v>
      </c>
      <c r="G23" s="46" t="s">
        <v>32</v>
      </c>
    </row>
    <row r="24" spans="1:22" x14ac:dyDescent="0.5">
      <c r="A24" s="59" t="s">
        <v>41</v>
      </c>
      <c r="B24" s="60"/>
      <c r="C24" s="47"/>
      <c r="D24" s="47"/>
    </row>
    <row r="25" spans="1:22" x14ac:dyDescent="0.5">
      <c r="A25" s="60" t="s">
        <v>42</v>
      </c>
      <c r="B25" s="60">
        <v>119</v>
      </c>
      <c r="C25" s="47" t="s">
        <v>0</v>
      </c>
      <c r="D25" s="47" t="s">
        <v>1</v>
      </c>
      <c r="F25" s="61">
        <f>2.0803*1.07</f>
        <v>2.225921</v>
      </c>
      <c r="G25" s="46" t="s">
        <v>32</v>
      </c>
    </row>
    <row r="26" spans="1:22" x14ac:dyDescent="0.5">
      <c r="A26" s="62" t="s">
        <v>37</v>
      </c>
      <c r="B26" s="60">
        <v>130000000</v>
      </c>
      <c r="C26" s="47" t="s">
        <v>32</v>
      </c>
      <c r="D26" s="47"/>
      <c r="F26" s="63"/>
    </row>
    <row r="27" spans="1:22" x14ac:dyDescent="0.5">
      <c r="A27" s="62"/>
      <c r="B27" s="60"/>
      <c r="C27" s="47"/>
      <c r="D27" s="47"/>
      <c r="F27" s="63"/>
    </row>
    <row r="28" spans="1:22" x14ac:dyDescent="0.5">
      <c r="A28" s="62"/>
      <c r="B28" s="60"/>
      <c r="C28" s="47"/>
      <c r="D28" s="47"/>
      <c r="F28" s="63"/>
    </row>
    <row r="29" spans="1:22" x14ac:dyDescent="0.5">
      <c r="A29" s="62"/>
      <c r="B29" s="60"/>
      <c r="C29" s="47"/>
      <c r="D29" s="47"/>
      <c r="F29" s="63"/>
    </row>
    <row r="30" spans="1:22" x14ac:dyDescent="0.5">
      <c r="A30" s="90" t="s">
        <v>98</v>
      </c>
      <c r="B30" s="64"/>
      <c r="C30" s="55"/>
      <c r="D30" s="55"/>
      <c r="E30" s="54"/>
      <c r="F30" s="65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</row>
    <row r="31" spans="1:22" x14ac:dyDescent="0.5">
      <c r="A31" s="94"/>
      <c r="B31" s="60"/>
      <c r="C31" s="47"/>
      <c r="D31" s="47"/>
      <c r="F31" s="63"/>
    </row>
    <row r="32" spans="1:22" x14ac:dyDescent="0.5">
      <c r="A32" s="102" t="s">
        <v>101</v>
      </c>
      <c r="B32" s="102"/>
      <c r="D32" s="47"/>
    </row>
    <row r="33" spans="1:6" x14ac:dyDescent="0.5">
      <c r="A33" s="96" t="s">
        <v>111</v>
      </c>
      <c r="B33" s="96"/>
      <c r="D33" s="47"/>
    </row>
    <row r="34" spans="1:6" x14ac:dyDescent="0.5">
      <c r="A34" s="96" t="s">
        <v>112</v>
      </c>
      <c r="B34" s="100">
        <v>20358669.5</v>
      </c>
      <c r="D34" s="47"/>
    </row>
    <row r="35" spans="1:6" x14ac:dyDescent="0.5">
      <c r="A35" s="96" t="s">
        <v>113</v>
      </c>
      <c r="B35" s="100">
        <v>12814707</v>
      </c>
      <c r="D35" s="47"/>
    </row>
    <row r="36" spans="1:6" x14ac:dyDescent="0.5">
      <c r="A36" s="96" t="s">
        <v>114</v>
      </c>
      <c r="B36" s="100">
        <v>10038585</v>
      </c>
      <c r="D36" s="47"/>
    </row>
    <row r="37" spans="1:6" x14ac:dyDescent="0.5">
      <c r="A37" s="96" t="s">
        <v>115</v>
      </c>
      <c r="B37" s="100">
        <v>12863054</v>
      </c>
      <c r="D37" s="47"/>
    </row>
    <row r="38" spans="1:6" x14ac:dyDescent="0.5">
      <c r="A38" s="96" t="s">
        <v>116</v>
      </c>
      <c r="B38" s="100">
        <v>2838910</v>
      </c>
      <c r="D38" s="47"/>
    </row>
    <row r="39" spans="1:6" x14ac:dyDescent="0.5">
      <c r="A39" s="96" t="s">
        <v>117</v>
      </c>
      <c r="B39" s="100">
        <v>12863054</v>
      </c>
      <c r="D39" s="47"/>
    </row>
    <row r="40" spans="1:6" x14ac:dyDescent="0.5">
      <c r="A40" s="96" t="s">
        <v>118</v>
      </c>
      <c r="B40" s="100">
        <v>3368224</v>
      </c>
      <c r="D40" s="47"/>
    </row>
    <row r="41" spans="1:6" x14ac:dyDescent="0.5">
      <c r="A41" s="96" t="s">
        <v>119</v>
      </c>
      <c r="B41" s="100">
        <v>10695206</v>
      </c>
      <c r="D41" s="47"/>
    </row>
    <row r="42" spans="1:6" x14ac:dyDescent="0.5">
      <c r="A42" s="96" t="s">
        <v>120</v>
      </c>
      <c r="B42" s="100">
        <v>27167510</v>
      </c>
      <c r="D42" s="47"/>
    </row>
    <row r="43" spans="1:6" x14ac:dyDescent="0.5">
      <c r="A43" s="96" t="s">
        <v>121</v>
      </c>
      <c r="B43" s="100">
        <v>3087232</v>
      </c>
      <c r="D43" s="47"/>
    </row>
    <row r="44" spans="1:6" x14ac:dyDescent="0.5">
      <c r="A44" s="96" t="s">
        <v>122</v>
      </c>
      <c r="B44" s="100">
        <v>14259678</v>
      </c>
      <c r="D44" s="47"/>
    </row>
    <row r="45" spans="1:6" x14ac:dyDescent="0.5">
      <c r="A45" s="103" t="s">
        <v>91</v>
      </c>
      <c r="B45" s="104">
        <f>SUM(B34:B44)</f>
        <v>130354829.5</v>
      </c>
      <c r="D45" s="47"/>
    </row>
    <row r="46" spans="1:6" x14ac:dyDescent="0.5">
      <c r="A46" s="107"/>
      <c r="B46" s="108"/>
      <c r="D46" s="47"/>
    </row>
    <row r="47" spans="1:6" x14ac:dyDescent="0.5">
      <c r="A47" s="137" t="s">
        <v>102</v>
      </c>
      <c r="B47" s="138"/>
      <c r="C47" s="139"/>
      <c r="D47" s="47"/>
      <c r="F47" s="63"/>
    </row>
    <row r="48" spans="1:6" x14ac:dyDescent="0.5">
      <c r="A48" s="97" t="s">
        <v>103</v>
      </c>
      <c r="B48" s="98"/>
      <c r="C48" s="99"/>
      <c r="D48" s="47"/>
      <c r="F48" s="63"/>
    </row>
    <row r="49" spans="1:6" x14ac:dyDescent="0.5">
      <c r="A49" s="96" t="s">
        <v>100</v>
      </c>
      <c r="B49" s="100">
        <v>130000000</v>
      </c>
      <c r="C49" s="96" t="s">
        <v>32</v>
      </c>
      <c r="D49" s="47"/>
      <c r="F49" s="63"/>
    </row>
    <row r="50" spans="1:6" x14ac:dyDescent="0.5">
      <c r="A50" s="96" t="s">
        <v>104</v>
      </c>
      <c r="B50" s="100">
        <v>200000</v>
      </c>
      <c r="C50" s="96" t="s">
        <v>43</v>
      </c>
      <c r="D50" s="47"/>
      <c r="F50" s="63"/>
    </row>
    <row r="51" spans="1:6" x14ac:dyDescent="0.5">
      <c r="A51" s="96" t="s">
        <v>159</v>
      </c>
      <c r="B51" s="100" t="s">
        <v>31</v>
      </c>
      <c r="C51" s="96" t="s">
        <v>31</v>
      </c>
      <c r="D51" s="47"/>
      <c r="F51" s="63"/>
    </row>
    <row r="52" spans="1:6" x14ac:dyDescent="0.5">
      <c r="A52" s="58"/>
      <c r="B52" s="95"/>
      <c r="C52" s="58"/>
      <c r="D52" s="47"/>
      <c r="F52" s="63"/>
    </row>
    <row r="53" spans="1:6" x14ac:dyDescent="0.5">
      <c r="A53" s="97" t="s">
        <v>105</v>
      </c>
      <c r="B53" s="98"/>
      <c r="C53" s="99"/>
      <c r="D53" s="47"/>
      <c r="F53" s="63"/>
    </row>
    <row r="54" spans="1:6" x14ac:dyDescent="0.5">
      <c r="A54" s="114" t="s">
        <v>123</v>
      </c>
      <c r="B54" s="114"/>
      <c r="C54" s="114"/>
      <c r="D54" s="47"/>
      <c r="F54" s="63"/>
    </row>
    <row r="55" spans="1:6" x14ac:dyDescent="0.5">
      <c r="A55" s="110" t="s">
        <v>160</v>
      </c>
      <c r="B55" s="111">
        <f>150000*11</f>
        <v>1650000</v>
      </c>
      <c r="C55" s="110" t="s">
        <v>32</v>
      </c>
      <c r="D55" s="47"/>
      <c r="F55" s="63"/>
    </row>
    <row r="56" spans="1:6" x14ac:dyDescent="0.5">
      <c r="A56" s="110" t="s">
        <v>161</v>
      </c>
      <c r="B56" s="111">
        <v>240000</v>
      </c>
      <c r="C56" s="110" t="s">
        <v>32</v>
      </c>
      <c r="D56" s="47"/>
      <c r="F56" s="63"/>
    </row>
    <row r="57" spans="1:6" x14ac:dyDescent="0.5">
      <c r="A57" s="110" t="s">
        <v>162</v>
      </c>
      <c r="B57" s="111">
        <f>65000*24</f>
        <v>1560000</v>
      </c>
      <c r="C57" s="110" t="s">
        <v>32</v>
      </c>
      <c r="D57" s="47"/>
      <c r="F57" s="63"/>
    </row>
    <row r="58" spans="1:6" x14ac:dyDescent="0.5">
      <c r="A58" s="110" t="s">
        <v>163</v>
      </c>
      <c r="B58" s="111">
        <f>30000*2</f>
        <v>60000</v>
      </c>
      <c r="C58" s="110" t="s">
        <v>32</v>
      </c>
      <c r="D58" s="47"/>
      <c r="F58" s="63"/>
    </row>
    <row r="59" spans="1:6" x14ac:dyDescent="0.5">
      <c r="A59" s="110" t="s">
        <v>164</v>
      </c>
      <c r="B59" s="111">
        <f>24*1200</f>
        <v>28800</v>
      </c>
      <c r="C59" s="110" t="s">
        <v>32</v>
      </c>
      <c r="D59" s="47"/>
      <c r="F59" s="63"/>
    </row>
    <row r="60" spans="1:6" x14ac:dyDescent="0.5">
      <c r="A60" s="110" t="s">
        <v>165</v>
      </c>
      <c r="B60" s="111">
        <v>1000000</v>
      </c>
      <c r="C60" s="110" t="s">
        <v>32</v>
      </c>
      <c r="D60" s="47"/>
      <c r="F60" s="63"/>
    </row>
    <row r="61" spans="1:6" x14ac:dyDescent="0.5">
      <c r="A61" s="110" t="s">
        <v>166</v>
      </c>
      <c r="B61" s="111">
        <v>100000</v>
      </c>
      <c r="C61" s="110" t="s">
        <v>32</v>
      </c>
      <c r="D61" s="47"/>
      <c r="F61" s="63"/>
    </row>
    <row r="62" spans="1:6" x14ac:dyDescent="0.5">
      <c r="A62" s="110" t="s">
        <v>167</v>
      </c>
      <c r="B62" s="111">
        <v>300000</v>
      </c>
      <c r="C62" s="110" t="s">
        <v>32</v>
      </c>
      <c r="D62" s="47"/>
      <c r="F62" s="63"/>
    </row>
    <row r="63" spans="1:6" x14ac:dyDescent="0.5">
      <c r="A63" s="110" t="s">
        <v>168</v>
      </c>
      <c r="B63" s="111">
        <f>30000*24</f>
        <v>720000</v>
      </c>
      <c r="C63" s="110" t="s">
        <v>32</v>
      </c>
      <c r="D63" s="47"/>
      <c r="F63" s="63"/>
    </row>
    <row r="64" spans="1:6" x14ac:dyDescent="0.5">
      <c r="A64" s="110" t="s">
        <v>169</v>
      </c>
      <c r="B64" s="111">
        <v>500000</v>
      </c>
      <c r="C64" s="110" t="s">
        <v>32</v>
      </c>
      <c r="D64" s="47"/>
      <c r="F64" s="63"/>
    </row>
    <row r="65" spans="1:6" x14ac:dyDescent="0.5">
      <c r="A65" s="110" t="s">
        <v>170</v>
      </c>
      <c r="B65" s="111">
        <f>30000*24</f>
        <v>720000</v>
      </c>
      <c r="C65" s="110" t="s">
        <v>32</v>
      </c>
      <c r="D65" s="47"/>
      <c r="F65" s="63"/>
    </row>
    <row r="66" spans="1:6" x14ac:dyDescent="0.5">
      <c r="A66" s="110" t="s">
        <v>171</v>
      </c>
      <c r="B66" s="111">
        <v>6000000</v>
      </c>
      <c r="C66" s="110" t="s">
        <v>32</v>
      </c>
      <c r="D66" s="47"/>
      <c r="F66" s="63"/>
    </row>
    <row r="67" spans="1:6" x14ac:dyDescent="0.5">
      <c r="A67" s="110" t="s">
        <v>172</v>
      </c>
      <c r="B67" s="111">
        <v>500000</v>
      </c>
      <c r="C67" s="110" t="s">
        <v>32</v>
      </c>
      <c r="D67" s="47"/>
      <c r="F67" s="63"/>
    </row>
    <row r="68" spans="1:6" x14ac:dyDescent="0.5">
      <c r="A68" s="110" t="s">
        <v>173</v>
      </c>
      <c r="B68" s="111">
        <v>100000</v>
      </c>
      <c r="C68" s="110" t="s">
        <v>32</v>
      </c>
      <c r="D68" s="47"/>
      <c r="F68" s="63"/>
    </row>
    <row r="69" spans="1:6" x14ac:dyDescent="0.5">
      <c r="A69" s="112" t="s">
        <v>124</v>
      </c>
      <c r="B69" s="113">
        <f>SUM(B55:B68)</f>
        <v>13478800</v>
      </c>
      <c r="C69" s="113" t="s">
        <v>32</v>
      </c>
      <c r="D69" s="47"/>
      <c r="F69" s="63"/>
    </row>
    <row r="70" spans="1:6" x14ac:dyDescent="0.5">
      <c r="A70" s="109"/>
      <c r="B70" s="95"/>
      <c r="C70" s="58"/>
      <c r="D70" s="47"/>
      <c r="F70" s="63"/>
    </row>
    <row r="71" spans="1:6" x14ac:dyDescent="0.5">
      <c r="A71" s="114" t="s">
        <v>125</v>
      </c>
      <c r="B71" s="114"/>
      <c r="C71" s="114"/>
      <c r="D71" s="47"/>
      <c r="F71" s="63"/>
    </row>
    <row r="72" spans="1:6" x14ac:dyDescent="0.5">
      <c r="A72" s="96" t="s">
        <v>106</v>
      </c>
      <c r="B72" s="100">
        <v>20000000</v>
      </c>
      <c r="C72" s="100" t="s">
        <v>32</v>
      </c>
      <c r="D72" s="47"/>
      <c r="F72" s="63"/>
    </row>
    <row r="73" spans="1:6" x14ac:dyDescent="0.5">
      <c r="A73" s="96" t="s">
        <v>107</v>
      </c>
      <c r="B73" s="100">
        <v>10000000</v>
      </c>
      <c r="C73" s="100" t="s">
        <v>32</v>
      </c>
      <c r="D73" s="47"/>
      <c r="F73" s="63"/>
    </row>
    <row r="74" spans="1:6" x14ac:dyDescent="0.5">
      <c r="A74" s="96" t="s">
        <v>174</v>
      </c>
      <c r="B74" s="100">
        <v>20000000</v>
      </c>
      <c r="C74" s="100" t="s">
        <v>32</v>
      </c>
      <c r="D74" s="47"/>
      <c r="F74" s="63"/>
    </row>
    <row r="75" spans="1:6" x14ac:dyDescent="0.5">
      <c r="A75" s="96" t="s">
        <v>108</v>
      </c>
      <c r="B75" s="100">
        <v>5000000</v>
      </c>
      <c r="C75" s="100" t="s">
        <v>32</v>
      </c>
      <c r="D75" s="47"/>
      <c r="F75" s="63"/>
    </row>
    <row r="76" spans="1:6" x14ac:dyDescent="0.5">
      <c r="A76" s="96" t="s">
        <v>140</v>
      </c>
      <c r="B76" s="100">
        <v>270000</v>
      </c>
      <c r="C76" s="100" t="s">
        <v>43</v>
      </c>
      <c r="D76" s="47"/>
      <c r="F76" s="63"/>
    </row>
    <row r="77" spans="1:6" x14ac:dyDescent="0.5">
      <c r="A77" s="96" t="s">
        <v>139</v>
      </c>
      <c r="B77" s="100">
        <v>30000</v>
      </c>
      <c r="C77" s="100" t="s">
        <v>43</v>
      </c>
      <c r="D77" s="47"/>
      <c r="F77" s="63"/>
    </row>
    <row r="78" spans="1:6" x14ac:dyDescent="0.5">
      <c r="A78" s="96" t="s">
        <v>136</v>
      </c>
      <c r="B78" s="100">
        <v>30000</v>
      </c>
      <c r="C78" s="100" t="s">
        <v>43</v>
      </c>
      <c r="D78" s="47"/>
      <c r="F78" s="63"/>
    </row>
    <row r="79" spans="1:6" x14ac:dyDescent="0.5">
      <c r="A79" s="96" t="s">
        <v>131</v>
      </c>
      <c r="B79" s="100">
        <v>50000</v>
      </c>
      <c r="C79" s="100" t="s">
        <v>109</v>
      </c>
      <c r="D79" s="47"/>
      <c r="F79" s="63"/>
    </row>
    <row r="80" spans="1:6" x14ac:dyDescent="0.5">
      <c r="A80" s="96" t="s">
        <v>132</v>
      </c>
      <c r="B80" s="100">
        <v>200000</v>
      </c>
      <c r="C80" s="100" t="s">
        <v>109</v>
      </c>
      <c r="D80" s="47"/>
      <c r="F80" s="63"/>
    </row>
    <row r="81" spans="1:23" x14ac:dyDescent="0.5">
      <c r="A81" s="101" t="s">
        <v>110</v>
      </c>
      <c r="B81" s="100">
        <v>300000</v>
      </c>
      <c r="C81" s="100" t="s">
        <v>109</v>
      </c>
      <c r="D81" s="47"/>
      <c r="F81" s="63"/>
    </row>
    <row r="82" spans="1:23" ht="36.75" customHeight="1" x14ac:dyDescent="0.5">
      <c r="A82" s="96" t="s">
        <v>135</v>
      </c>
      <c r="B82" s="133" t="s">
        <v>141</v>
      </c>
      <c r="C82" s="134"/>
      <c r="D82" s="47"/>
      <c r="F82" s="63"/>
    </row>
    <row r="83" spans="1:23" ht="36.75" customHeight="1" x14ac:dyDescent="0.5">
      <c r="A83" s="96"/>
      <c r="B83" s="133" t="s">
        <v>142</v>
      </c>
      <c r="C83" s="134"/>
      <c r="D83" s="47"/>
      <c r="F83" s="63"/>
    </row>
    <row r="84" spans="1:23" ht="36.75" customHeight="1" x14ac:dyDescent="0.5">
      <c r="A84" s="96"/>
      <c r="B84" s="133" t="s">
        <v>144</v>
      </c>
      <c r="C84" s="134"/>
      <c r="D84" s="47"/>
      <c r="F84" s="63"/>
    </row>
    <row r="85" spans="1:23" ht="36.75" customHeight="1" x14ac:dyDescent="0.5">
      <c r="A85" s="96"/>
      <c r="B85" s="133" t="s">
        <v>145</v>
      </c>
      <c r="C85" s="134"/>
      <c r="D85" s="47"/>
      <c r="F85" s="63"/>
    </row>
    <row r="86" spans="1:23" x14ac:dyDescent="0.5">
      <c r="A86" s="96" t="s">
        <v>146</v>
      </c>
      <c r="B86" s="135" t="s">
        <v>147</v>
      </c>
      <c r="C86" s="136"/>
      <c r="D86" s="47"/>
      <c r="F86" s="63"/>
    </row>
    <row r="87" spans="1:23" x14ac:dyDescent="0.5">
      <c r="A87" s="105"/>
      <c r="B87" s="106"/>
      <c r="C87" s="106"/>
      <c r="D87" s="47"/>
      <c r="F87" s="63"/>
    </row>
    <row r="88" spans="1:23" x14ac:dyDescent="0.5">
      <c r="A88" s="105"/>
      <c r="B88" s="106"/>
      <c r="C88" s="106"/>
      <c r="D88" s="47"/>
      <c r="F88" s="63"/>
    </row>
    <row r="89" spans="1:23" s="66" customFormat="1" x14ac:dyDescent="0.5">
      <c r="A89" s="129" t="s">
        <v>3</v>
      </c>
      <c r="B89" s="129" t="s">
        <v>4</v>
      </c>
      <c r="C89" s="129" t="s">
        <v>5</v>
      </c>
      <c r="D89" s="129" t="s">
        <v>6</v>
      </c>
      <c r="E89" s="129" t="s">
        <v>7</v>
      </c>
      <c r="F89" s="129" t="s">
        <v>8</v>
      </c>
      <c r="G89" s="129" t="s">
        <v>9</v>
      </c>
      <c r="H89" s="129" t="s">
        <v>10</v>
      </c>
      <c r="I89" s="129" t="s">
        <v>11</v>
      </c>
      <c r="J89" s="129" t="s">
        <v>12</v>
      </c>
      <c r="K89" s="129" t="s">
        <v>13</v>
      </c>
      <c r="L89" s="129" t="s">
        <v>14</v>
      </c>
      <c r="M89" s="129" t="s">
        <v>15</v>
      </c>
      <c r="N89" s="129" t="s">
        <v>16</v>
      </c>
      <c r="O89" s="129" t="s">
        <v>17</v>
      </c>
      <c r="P89" s="129" t="s">
        <v>18</v>
      </c>
      <c r="Q89" s="129" t="s">
        <v>19</v>
      </c>
      <c r="R89" s="129" t="s">
        <v>20</v>
      </c>
      <c r="S89" s="129" t="s">
        <v>21</v>
      </c>
      <c r="T89" s="129" t="s">
        <v>22</v>
      </c>
      <c r="U89" s="129" t="s">
        <v>23</v>
      </c>
      <c r="V89" s="129" t="s">
        <v>24</v>
      </c>
      <c r="W89" s="129"/>
    </row>
    <row r="90" spans="1:23" x14ac:dyDescent="0.5">
      <c r="A90" s="126" t="s">
        <v>126</v>
      </c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8"/>
    </row>
    <row r="91" spans="1:23" x14ac:dyDescent="0.5">
      <c r="A91" s="123" t="s">
        <v>51</v>
      </c>
      <c r="B91" s="124">
        <v>0</v>
      </c>
      <c r="C91" s="124">
        <f>((($B$20*$B$23*$F$23)-((($B$20*$B$23*$F$23)*10%))+((($B$20*$B$25)*$F$25)+((($B$20*$B$23)*$F$25)*10%))))</f>
        <v>27856866.853551336</v>
      </c>
      <c r="D91" s="124">
        <f t="shared" ref="D91:V91" si="0">((($B$20*$B$23*$F$23)-((($B$20*$B$23*$F$23)*10%))+((($B$20*$B$25)*$F$25)+((($B$20*$B$23)*$F$25)*10%))))</f>
        <v>27856866.853551336</v>
      </c>
      <c r="E91" s="124">
        <f t="shared" si="0"/>
        <v>27856866.853551336</v>
      </c>
      <c r="F91" s="124">
        <f t="shared" si="0"/>
        <v>27856866.853551336</v>
      </c>
      <c r="G91" s="124">
        <f t="shared" si="0"/>
        <v>27856866.853551336</v>
      </c>
      <c r="H91" s="124">
        <f t="shared" si="0"/>
        <v>27856866.853551336</v>
      </c>
      <c r="I91" s="124">
        <f t="shared" si="0"/>
        <v>27856866.853551336</v>
      </c>
      <c r="J91" s="124">
        <f t="shared" si="0"/>
        <v>27856866.853551336</v>
      </c>
      <c r="K91" s="124">
        <f t="shared" si="0"/>
        <v>27856866.853551336</v>
      </c>
      <c r="L91" s="124">
        <f t="shared" si="0"/>
        <v>27856866.853551336</v>
      </c>
      <c r="M91" s="124">
        <f t="shared" si="0"/>
        <v>27856866.853551336</v>
      </c>
      <c r="N91" s="124">
        <f t="shared" si="0"/>
        <v>27856866.853551336</v>
      </c>
      <c r="O91" s="124">
        <f t="shared" si="0"/>
        <v>27856866.853551336</v>
      </c>
      <c r="P91" s="124">
        <f t="shared" si="0"/>
        <v>27856866.853551336</v>
      </c>
      <c r="Q91" s="124">
        <f t="shared" si="0"/>
        <v>27856866.853551336</v>
      </c>
      <c r="R91" s="124">
        <f t="shared" si="0"/>
        <v>27856866.853551336</v>
      </c>
      <c r="S91" s="124">
        <f t="shared" si="0"/>
        <v>27856866.853551336</v>
      </c>
      <c r="T91" s="124">
        <f t="shared" si="0"/>
        <v>27856866.853551336</v>
      </c>
      <c r="U91" s="124">
        <f t="shared" si="0"/>
        <v>27856866.853551336</v>
      </c>
      <c r="V91" s="124">
        <f t="shared" si="0"/>
        <v>27856866.853551336</v>
      </c>
      <c r="W91" s="125">
        <f>SUM(B91:V91)</f>
        <v>557137337.07102668</v>
      </c>
    </row>
    <row r="92" spans="1:23" s="66" customFormat="1" x14ac:dyDescent="0.5">
      <c r="A92" s="67"/>
      <c r="B92" s="68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69"/>
    </row>
    <row r="93" spans="1:23" s="66" customFormat="1" x14ac:dyDescent="0.5">
      <c r="A93" s="160" t="s">
        <v>128</v>
      </c>
      <c r="B93" s="157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9"/>
    </row>
    <row r="94" spans="1:23" s="66" customFormat="1" x14ac:dyDescent="0.5">
      <c r="A94" s="161" t="s">
        <v>127</v>
      </c>
      <c r="B94" s="68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69"/>
    </row>
    <row r="95" spans="1:23" s="66" customFormat="1" x14ac:dyDescent="0.5">
      <c r="A95" s="67" t="s">
        <v>129</v>
      </c>
      <c r="B95" s="68">
        <v>0</v>
      </c>
      <c r="C95" s="73">
        <f t="shared" ref="C95:H95" si="1">C91*0.8</f>
        <v>22285493.482841071</v>
      </c>
      <c r="D95" s="73">
        <f t="shared" si="1"/>
        <v>22285493.482841071</v>
      </c>
      <c r="E95" s="73">
        <f t="shared" si="1"/>
        <v>22285493.482841071</v>
      </c>
      <c r="F95" s="73">
        <f t="shared" si="1"/>
        <v>22285493.482841071</v>
      </c>
      <c r="G95" s="73">
        <f t="shared" si="1"/>
        <v>22285493.482841071</v>
      </c>
      <c r="H95" s="73">
        <f t="shared" si="1"/>
        <v>22285493.482841071</v>
      </c>
      <c r="I95" s="73">
        <f t="shared" ref="I95:V95" si="2">I91*0.5</f>
        <v>13928433.426775668</v>
      </c>
      <c r="J95" s="73">
        <f t="shared" si="2"/>
        <v>13928433.426775668</v>
      </c>
      <c r="K95" s="73">
        <f t="shared" si="2"/>
        <v>13928433.426775668</v>
      </c>
      <c r="L95" s="73">
        <f t="shared" si="2"/>
        <v>13928433.426775668</v>
      </c>
      <c r="M95" s="73">
        <f t="shared" si="2"/>
        <v>13928433.426775668</v>
      </c>
      <c r="N95" s="73">
        <f t="shared" si="2"/>
        <v>13928433.426775668</v>
      </c>
      <c r="O95" s="73">
        <f t="shared" si="2"/>
        <v>13928433.426775668</v>
      </c>
      <c r="P95" s="73">
        <f t="shared" si="2"/>
        <v>13928433.426775668</v>
      </c>
      <c r="Q95" s="73">
        <f t="shared" si="2"/>
        <v>13928433.426775668</v>
      </c>
      <c r="R95" s="73">
        <f t="shared" si="2"/>
        <v>13928433.426775668</v>
      </c>
      <c r="S95" s="73">
        <f t="shared" si="2"/>
        <v>13928433.426775668</v>
      </c>
      <c r="T95" s="73">
        <f t="shared" si="2"/>
        <v>13928433.426775668</v>
      </c>
      <c r="U95" s="73">
        <f t="shared" si="2"/>
        <v>13928433.426775668</v>
      </c>
      <c r="V95" s="73">
        <f t="shared" si="2"/>
        <v>13928433.426775668</v>
      </c>
      <c r="W95" s="122">
        <f t="shared" ref="W95" si="3">SUM(B95:V95)</f>
        <v>328711028.87190586</v>
      </c>
    </row>
    <row r="96" spans="1:23" s="67" customFormat="1" x14ac:dyDescent="0.5">
      <c r="A96" s="67" t="s">
        <v>177</v>
      </c>
      <c r="B96" s="71">
        <f>B100*6%*4/12</f>
        <v>2600000</v>
      </c>
      <c r="C96" s="115">
        <f>B100*6%</f>
        <v>7800000</v>
      </c>
      <c r="D96" s="73">
        <f>($B$100-$C$95)*6%</f>
        <v>6462870.3910295349</v>
      </c>
      <c r="E96" s="73">
        <f>($B$100-$C$95-$D$95)*6%</f>
        <v>5125740.7820590707</v>
      </c>
      <c r="F96" s="73">
        <f>($B$100-$C$95-$D$95-$E$95)*6%</f>
        <v>3788611.1730886064</v>
      </c>
      <c r="G96" s="73">
        <f>($B$100-$C$95-$D$95-$E$95-$F$95)*6%</f>
        <v>2451481.5641181422</v>
      </c>
      <c r="H96" s="73">
        <f>($B$100-$C$95-$D$95-$E$95-$F$95-$G$95)*6%</f>
        <v>1114351.9551476778</v>
      </c>
      <c r="I96" s="73">
        <f>($B$100-$C$95-$D$95-$E$95-$F$95-$G$95-$H$95/2)*6%</f>
        <v>445787.15066244575</v>
      </c>
      <c r="J96" s="73">
        <v>0</v>
      </c>
      <c r="K96" s="73">
        <v>0</v>
      </c>
      <c r="L96" s="73">
        <f t="shared" ref="L96:V96" si="4">K96*1.03</f>
        <v>0</v>
      </c>
      <c r="M96" s="73">
        <f t="shared" si="4"/>
        <v>0</v>
      </c>
      <c r="N96" s="73">
        <f t="shared" si="4"/>
        <v>0</v>
      </c>
      <c r="O96" s="73">
        <f t="shared" si="4"/>
        <v>0</v>
      </c>
      <c r="P96" s="73">
        <f t="shared" si="4"/>
        <v>0</v>
      </c>
      <c r="Q96" s="73">
        <f t="shared" si="4"/>
        <v>0</v>
      </c>
      <c r="R96" s="73">
        <f t="shared" si="4"/>
        <v>0</v>
      </c>
      <c r="S96" s="73">
        <f t="shared" si="4"/>
        <v>0</v>
      </c>
      <c r="T96" s="73">
        <f t="shared" si="4"/>
        <v>0</v>
      </c>
      <c r="U96" s="73">
        <f t="shared" si="4"/>
        <v>0</v>
      </c>
      <c r="V96" s="73">
        <f t="shared" si="4"/>
        <v>0</v>
      </c>
      <c r="W96" s="122">
        <f>SUM(B96:V96)</f>
        <v>29788843.016105477</v>
      </c>
    </row>
    <row r="97" spans="1:23" s="67" customFormat="1" ht="22.5" x14ac:dyDescent="0.45">
      <c r="A97" s="154" t="s">
        <v>178</v>
      </c>
      <c r="B97" s="156">
        <f>SUM(B95:B96)</f>
        <v>2600000</v>
      </c>
      <c r="C97" s="156">
        <f t="shared" ref="C97:W97" si="5">SUM(C95:C96)</f>
        <v>30085493.482841071</v>
      </c>
      <c r="D97" s="156">
        <f t="shared" si="5"/>
        <v>28748363.873870604</v>
      </c>
      <c r="E97" s="156">
        <f t="shared" si="5"/>
        <v>27411234.26490014</v>
      </c>
      <c r="F97" s="156">
        <f t="shared" si="5"/>
        <v>26074104.655929677</v>
      </c>
      <c r="G97" s="156">
        <f t="shared" si="5"/>
        <v>24736975.046959214</v>
      </c>
      <c r="H97" s="156">
        <f t="shared" si="5"/>
        <v>23399845.437988747</v>
      </c>
      <c r="I97" s="156">
        <f t="shared" si="5"/>
        <v>14374220.577438114</v>
      </c>
      <c r="J97" s="156">
        <f t="shared" si="5"/>
        <v>13928433.426775668</v>
      </c>
      <c r="K97" s="156">
        <f t="shared" si="5"/>
        <v>13928433.426775668</v>
      </c>
      <c r="L97" s="156">
        <f t="shared" si="5"/>
        <v>13928433.426775668</v>
      </c>
      <c r="M97" s="156">
        <f t="shared" si="5"/>
        <v>13928433.426775668</v>
      </c>
      <c r="N97" s="156">
        <f t="shared" si="5"/>
        <v>13928433.426775668</v>
      </c>
      <c r="O97" s="156">
        <f t="shared" si="5"/>
        <v>13928433.426775668</v>
      </c>
      <c r="P97" s="156">
        <f t="shared" si="5"/>
        <v>13928433.426775668</v>
      </c>
      <c r="Q97" s="156">
        <f t="shared" si="5"/>
        <v>13928433.426775668</v>
      </c>
      <c r="R97" s="156">
        <f t="shared" si="5"/>
        <v>13928433.426775668</v>
      </c>
      <c r="S97" s="156">
        <f t="shared" si="5"/>
        <v>13928433.426775668</v>
      </c>
      <c r="T97" s="156">
        <f t="shared" si="5"/>
        <v>13928433.426775668</v>
      </c>
      <c r="U97" s="156">
        <f t="shared" si="5"/>
        <v>13928433.426775668</v>
      </c>
      <c r="V97" s="156">
        <f t="shared" si="5"/>
        <v>13928433.426775668</v>
      </c>
      <c r="W97" s="156">
        <f t="shared" si="5"/>
        <v>358499871.88801134</v>
      </c>
    </row>
    <row r="98" spans="1:23" s="67" customFormat="1" x14ac:dyDescent="0.5">
      <c r="B98" s="71"/>
      <c r="C98" s="115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69"/>
    </row>
    <row r="99" spans="1:23" x14ac:dyDescent="0.5">
      <c r="A99" s="88" t="s">
        <v>25</v>
      </c>
      <c r="W99" s="69">
        <f t="shared" ref="W99" si="6">SUM(B99:V99)</f>
        <v>0</v>
      </c>
    </row>
    <row r="100" spans="1:23" s="67" customFormat="1" x14ac:dyDescent="0.5">
      <c r="A100" s="67" t="s">
        <v>179</v>
      </c>
      <c r="B100" s="71">
        <v>130000000</v>
      </c>
      <c r="C100" s="70">
        <v>0</v>
      </c>
      <c r="D100" s="70">
        <v>0</v>
      </c>
      <c r="E100" s="70">
        <v>0</v>
      </c>
      <c r="F100" s="70">
        <v>0</v>
      </c>
      <c r="G100" s="70">
        <v>0</v>
      </c>
      <c r="H100" s="70">
        <v>0</v>
      </c>
      <c r="I100" s="70">
        <v>0</v>
      </c>
      <c r="J100" s="70">
        <v>0</v>
      </c>
      <c r="K100" s="70">
        <v>0</v>
      </c>
      <c r="L100" s="70">
        <v>0</v>
      </c>
      <c r="M100" s="70">
        <v>0</v>
      </c>
      <c r="N100" s="70">
        <v>0</v>
      </c>
      <c r="O100" s="70">
        <v>0</v>
      </c>
      <c r="P100" s="70">
        <v>0</v>
      </c>
      <c r="Q100" s="70">
        <v>0</v>
      </c>
      <c r="R100" s="70">
        <v>0</v>
      </c>
      <c r="S100" s="70">
        <v>0</v>
      </c>
      <c r="T100" s="70">
        <v>0</v>
      </c>
      <c r="U100" s="70">
        <v>0</v>
      </c>
      <c r="V100" s="70">
        <v>0</v>
      </c>
      <c r="W100" s="69">
        <f>SUM(B100:V100)</f>
        <v>130000000</v>
      </c>
    </row>
    <row r="101" spans="1:23" s="67" customFormat="1" x14ac:dyDescent="0.5">
      <c r="A101" s="67" t="s">
        <v>130</v>
      </c>
      <c r="B101" s="71">
        <f>B50*4</f>
        <v>800000</v>
      </c>
      <c r="C101" s="115">
        <f>B50*12</f>
        <v>2400000</v>
      </c>
      <c r="D101" s="73">
        <f>C101*1.03</f>
        <v>2472000</v>
      </c>
      <c r="E101" s="73">
        <f t="shared" ref="E101" si="7">D101*1.03</f>
        <v>2546160</v>
      </c>
      <c r="F101" s="73">
        <f t="shared" ref="F101" si="8">E101*1.03</f>
        <v>2622544.8000000003</v>
      </c>
      <c r="G101" s="73">
        <f t="shared" ref="G101" si="9">F101*1.03</f>
        <v>2701221.1440000003</v>
      </c>
      <c r="H101" s="73">
        <f t="shared" ref="H101" si="10">G101*1.03</f>
        <v>2782257.7783200005</v>
      </c>
      <c r="I101" s="73">
        <f t="shared" ref="I101" si="11">H101*1.03</f>
        <v>2865725.5116696004</v>
      </c>
      <c r="J101" s="73">
        <f t="shared" ref="J101" si="12">I101*1.03</f>
        <v>2951697.2770196884</v>
      </c>
      <c r="K101" s="73">
        <f t="shared" ref="K101" si="13">J101*1.03</f>
        <v>3040248.1953302789</v>
      </c>
      <c r="L101" s="73">
        <f t="shared" ref="L101" si="14">K101*1.03</f>
        <v>3131455.6411901875</v>
      </c>
      <c r="M101" s="73">
        <f t="shared" ref="M101" si="15">L101*1.03</f>
        <v>3225399.3104258934</v>
      </c>
      <c r="N101" s="73">
        <f t="shared" ref="N101" si="16">M101*1.03</f>
        <v>3322161.2897386705</v>
      </c>
      <c r="O101" s="73">
        <f t="shared" ref="O101" si="17">N101*1.03</f>
        <v>3421826.1284308308</v>
      </c>
      <c r="P101" s="73">
        <f t="shared" ref="P101" si="18">O101*1.03</f>
        <v>3524480.9122837558</v>
      </c>
      <c r="Q101" s="73">
        <f t="shared" ref="Q101" si="19">P101*1.03</f>
        <v>3630215.3396522687</v>
      </c>
      <c r="R101" s="73">
        <f t="shared" ref="R101" si="20">Q101*1.03</f>
        <v>3739121.799841837</v>
      </c>
      <c r="S101" s="73">
        <f t="shared" ref="S101" si="21">R101*1.03</f>
        <v>3851295.453837092</v>
      </c>
      <c r="T101" s="73">
        <f t="shared" ref="T101" si="22">S101*1.03</f>
        <v>3966834.3174522049</v>
      </c>
      <c r="U101" s="73">
        <f t="shared" ref="U101" si="23">T101*1.03</f>
        <v>4085839.3469757712</v>
      </c>
      <c r="V101" s="73">
        <f t="shared" ref="V101" si="24">U101*1.03</f>
        <v>4208414.5273850448</v>
      </c>
      <c r="W101" s="69">
        <f t="shared" ref="W101" si="25">SUM(B101:V101)</f>
        <v>65288898.773553118</v>
      </c>
    </row>
    <row r="102" spans="1:23" s="67" customFormat="1" x14ac:dyDescent="0.5">
      <c r="A102" s="154" t="s">
        <v>133</v>
      </c>
      <c r="B102" s="155">
        <f>SUM(B100:B101)</f>
        <v>130800000</v>
      </c>
      <c r="C102" s="155">
        <f t="shared" ref="C102:V102" si="26">SUM(C100:C101)</f>
        <v>2400000</v>
      </c>
      <c r="D102" s="155">
        <f t="shared" si="26"/>
        <v>2472000</v>
      </c>
      <c r="E102" s="155">
        <f t="shared" si="26"/>
        <v>2546160</v>
      </c>
      <c r="F102" s="155">
        <f t="shared" si="26"/>
        <v>2622544.8000000003</v>
      </c>
      <c r="G102" s="155">
        <f t="shared" si="26"/>
        <v>2701221.1440000003</v>
      </c>
      <c r="H102" s="155">
        <f t="shared" si="26"/>
        <v>2782257.7783200005</v>
      </c>
      <c r="I102" s="155">
        <f t="shared" si="26"/>
        <v>2865725.5116696004</v>
      </c>
      <c r="J102" s="155">
        <f t="shared" si="26"/>
        <v>2951697.2770196884</v>
      </c>
      <c r="K102" s="155">
        <f t="shared" si="26"/>
        <v>3040248.1953302789</v>
      </c>
      <c r="L102" s="155">
        <f t="shared" si="26"/>
        <v>3131455.6411901875</v>
      </c>
      <c r="M102" s="155">
        <f t="shared" si="26"/>
        <v>3225399.3104258934</v>
      </c>
      <c r="N102" s="155">
        <f t="shared" si="26"/>
        <v>3322161.2897386705</v>
      </c>
      <c r="O102" s="155">
        <f t="shared" si="26"/>
        <v>3421826.1284308308</v>
      </c>
      <c r="P102" s="155">
        <f t="shared" si="26"/>
        <v>3524480.9122837558</v>
      </c>
      <c r="Q102" s="155">
        <f t="shared" si="26"/>
        <v>3630215.3396522687</v>
      </c>
      <c r="R102" s="155">
        <f t="shared" si="26"/>
        <v>3739121.799841837</v>
      </c>
      <c r="S102" s="155">
        <f t="shared" si="26"/>
        <v>3851295.453837092</v>
      </c>
      <c r="T102" s="155">
        <f t="shared" si="26"/>
        <v>3966834.3174522049</v>
      </c>
      <c r="U102" s="155">
        <f t="shared" si="26"/>
        <v>4085839.3469757712</v>
      </c>
      <c r="V102" s="155">
        <f t="shared" si="26"/>
        <v>4208414.5273850448</v>
      </c>
      <c r="W102" s="116">
        <f t="shared" ref="W102:W103" si="27">SUM(B102:V102)</f>
        <v>195288898.77355322</v>
      </c>
    </row>
    <row r="103" spans="1:23" s="67" customFormat="1" x14ac:dyDescent="0.5">
      <c r="A103" s="81" t="s">
        <v>137</v>
      </c>
      <c r="B103" s="162">
        <f>B97-B102</f>
        <v>-128200000</v>
      </c>
      <c r="C103" s="162">
        <f>C97-C102</f>
        <v>27685493.482841071</v>
      </c>
      <c r="D103" s="162">
        <f t="shared" ref="D103:V103" si="28">D97-D102</f>
        <v>26276363.873870604</v>
      </c>
      <c r="E103" s="162">
        <f t="shared" si="28"/>
        <v>24865074.26490014</v>
      </c>
      <c r="F103" s="162">
        <f t="shared" si="28"/>
        <v>23451559.855929676</v>
      </c>
      <c r="G103" s="162">
        <f t="shared" si="28"/>
        <v>22035753.902959213</v>
      </c>
      <c r="H103" s="162">
        <f t="shared" si="28"/>
        <v>20617587.659668747</v>
      </c>
      <c r="I103" s="162">
        <f t="shared" si="28"/>
        <v>11508495.065768514</v>
      </c>
      <c r="J103" s="162">
        <f t="shared" si="28"/>
        <v>10976736.149755979</v>
      </c>
      <c r="K103" s="162">
        <f t="shared" si="28"/>
        <v>10888185.231445389</v>
      </c>
      <c r="L103" s="162">
        <f t="shared" si="28"/>
        <v>10796977.78558548</v>
      </c>
      <c r="M103" s="162">
        <f t="shared" si="28"/>
        <v>10703034.116349775</v>
      </c>
      <c r="N103" s="162">
        <f t="shared" si="28"/>
        <v>10606272.137036998</v>
      </c>
      <c r="O103" s="162">
        <f t="shared" si="28"/>
        <v>10506607.298344838</v>
      </c>
      <c r="P103" s="162">
        <f t="shared" si="28"/>
        <v>10403952.514491912</v>
      </c>
      <c r="Q103" s="162">
        <f t="shared" si="28"/>
        <v>10298218.0871234</v>
      </c>
      <c r="R103" s="162">
        <f t="shared" si="28"/>
        <v>10189311.626933832</v>
      </c>
      <c r="S103" s="162">
        <f t="shared" si="28"/>
        <v>10077137.972938575</v>
      </c>
      <c r="T103" s="162">
        <f t="shared" si="28"/>
        <v>9961599.1093234625</v>
      </c>
      <c r="U103" s="162">
        <f t="shared" si="28"/>
        <v>9842594.0797998961</v>
      </c>
      <c r="V103" s="162">
        <f t="shared" si="28"/>
        <v>9720018.899390623</v>
      </c>
      <c r="W103" s="163">
        <f t="shared" si="27"/>
        <v>163210973.11445814</v>
      </c>
    </row>
    <row r="104" spans="1:23" s="67" customFormat="1" x14ac:dyDescent="0.5">
      <c r="A104" s="67" t="s">
        <v>33</v>
      </c>
      <c r="B104" s="71">
        <v>0</v>
      </c>
      <c r="C104" s="115">
        <f>C95*20%</f>
        <v>4457098.6965682143</v>
      </c>
      <c r="D104" s="115">
        <f>D95*20%</f>
        <v>4457098.6965682143</v>
      </c>
      <c r="E104" s="115">
        <f>E95*20%</f>
        <v>4457098.6965682143</v>
      </c>
      <c r="F104" s="115">
        <f>F95*20%</f>
        <v>4457098.6965682143</v>
      </c>
      <c r="G104" s="115">
        <f>G95*20%</f>
        <v>4457098.6965682143</v>
      </c>
      <c r="H104" s="115">
        <f>H95*20%</f>
        <v>4457098.6965682143</v>
      </c>
      <c r="I104" s="115">
        <f>I95*20%</f>
        <v>2785686.6853551338</v>
      </c>
      <c r="J104" s="115">
        <f>J95*20%</f>
        <v>2785686.6853551338</v>
      </c>
      <c r="K104" s="115">
        <f>K95*20%</f>
        <v>2785686.6853551338</v>
      </c>
      <c r="L104" s="115">
        <f>L95*20%</f>
        <v>2785686.6853551338</v>
      </c>
      <c r="M104" s="115">
        <f>M95*20%</f>
        <v>2785686.6853551338</v>
      </c>
      <c r="N104" s="115">
        <f>N95*20%</f>
        <v>2785686.6853551338</v>
      </c>
      <c r="O104" s="115">
        <f>O95*20%</f>
        <v>2785686.6853551338</v>
      </c>
      <c r="P104" s="115">
        <f>P95*20%</f>
        <v>2785686.6853551338</v>
      </c>
      <c r="Q104" s="115">
        <f>Q95*20%</f>
        <v>2785686.6853551338</v>
      </c>
      <c r="R104" s="115">
        <f>R95*20%</f>
        <v>2785686.6853551338</v>
      </c>
      <c r="S104" s="115">
        <f>S95*20%</f>
        <v>2785686.6853551338</v>
      </c>
      <c r="T104" s="115">
        <f>T95*20%</f>
        <v>2785686.6853551338</v>
      </c>
      <c r="U104" s="115">
        <f>U95*20%</f>
        <v>2785686.6853551338</v>
      </c>
      <c r="V104" s="115">
        <f>V95*20%</f>
        <v>2785686.6853551338</v>
      </c>
      <c r="W104" s="69">
        <f>SUM(B104:V104)</f>
        <v>65742205.774381161</v>
      </c>
    </row>
    <row r="105" spans="1:23" s="164" customFormat="1" x14ac:dyDescent="0.5">
      <c r="A105" s="121" t="s">
        <v>156</v>
      </c>
      <c r="B105" s="120">
        <f>B103-B104</f>
        <v>-128200000</v>
      </c>
      <c r="C105" s="120">
        <f>C103-C104</f>
        <v>23228394.786272857</v>
      </c>
      <c r="D105" s="120">
        <f>D103-D104</f>
        <v>21819265.17730239</v>
      </c>
      <c r="E105" s="120">
        <f>E103-E104</f>
        <v>20407975.568331927</v>
      </c>
      <c r="F105" s="120">
        <f t="shared" ref="F105:V105" si="29">F103-F104</f>
        <v>18994461.159361463</v>
      </c>
      <c r="G105" s="120">
        <f t="shared" si="29"/>
        <v>17578655.206390999</v>
      </c>
      <c r="H105" s="120">
        <f t="shared" si="29"/>
        <v>16160488.963100534</v>
      </c>
      <c r="I105" s="120">
        <f t="shared" si="29"/>
        <v>8722808.3804133795</v>
      </c>
      <c r="J105" s="120">
        <f t="shared" si="29"/>
        <v>8191049.4644008446</v>
      </c>
      <c r="K105" s="120">
        <f t="shared" si="29"/>
        <v>8102498.5460902546</v>
      </c>
      <c r="L105" s="120">
        <f t="shared" si="29"/>
        <v>8011291.1002303455</v>
      </c>
      <c r="M105" s="120">
        <f t="shared" si="29"/>
        <v>7917347.430994641</v>
      </c>
      <c r="N105" s="120">
        <f t="shared" si="29"/>
        <v>7820585.4516818635</v>
      </c>
      <c r="O105" s="120">
        <f t="shared" si="29"/>
        <v>7720920.6129897032</v>
      </c>
      <c r="P105" s="120">
        <f t="shared" si="29"/>
        <v>7618265.8291367777</v>
      </c>
      <c r="Q105" s="120">
        <f t="shared" si="29"/>
        <v>7512531.4017682653</v>
      </c>
      <c r="R105" s="120">
        <f t="shared" si="29"/>
        <v>7403624.9415786974</v>
      </c>
      <c r="S105" s="120">
        <f t="shared" si="29"/>
        <v>7291451.2875834405</v>
      </c>
      <c r="T105" s="120">
        <f t="shared" si="29"/>
        <v>7175912.4239683282</v>
      </c>
      <c r="U105" s="120">
        <f t="shared" si="29"/>
        <v>7056907.3944447618</v>
      </c>
      <c r="V105" s="120">
        <f t="shared" si="29"/>
        <v>6934332.2140354887</v>
      </c>
      <c r="W105" s="120">
        <f>SUM(B105:V105)</f>
        <v>97468767.340076983</v>
      </c>
    </row>
    <row r="106" spans="1:23" s="67" customFormat="1" x14ac:dyDescent="0.5">
      <c r="B106" s="71"/>
      <c r="C106" s="115" t="s">
        <v>31</v>
      </c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69"/>
    </row>
    <row r="107" spans="1:23" s="67" customFormat="1" x14ac:dyDescent="0.5">
      <c r="B107" s="71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69"/>
    </row>
    <row r="108" spans="1:23" s="66" customFormat="1" x14ac:dyDescent="0.5">
      <c r="A108" s="142" t="s">
        <v>134</v>
      </c>
      <c r="B108" s="143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5"/>
    </row>
    <row r="109" spans="1:23" s="66" customFormat="1" x14ac:dyDescent="0.5">
      <c r="A109" s="146" t="s">
        <v>127</v>
      </c>
      <c r="B109" s="147"/>
      <c r="C109" s="148"/>
      <c r="D109" s="148"/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9"/>
    </row>
    <row r="110" spans="1:23" s="66" customFormat="1" x14ac:dyDescent="0.5">
      <c r="A110" s="67" t="s">
        <v>129</v>
      </c>
      <c r="B110" s="68">
        <v>0</v>
      </c>
      <c r="C110" s="73">
        <f>C91*0.2</f>
        <v>5571373.3707102677</v>
      </c>
      <c r="D110" s="73">
        <f>D91*0.2</f>
        <v>5571373.3707102677</v>
      </c>
      <c r="E110" s="73">
        <f>E91*0.2</f>
        <v>5571373.3707102677</v>
      </c>
      <c r="F110" s="73">
        <f>F91*0.2</f>
        <v>5571373.3707102677</v>
      </c>
      <c r="G110" s="73">
        <f>G91*0.2</f>
        <v>5571373.3707102677</v>
      </c>
      <c r="H110" s="73">
        <f>H91*0.2</f>
        <v>5571373.3707102677</v>
      </c>
      <c r="I110" s="73">
        <f>I91*0.5</f>
        <v>13928433.426775668</v>
      </c>
      <c r="J110" s="73">
        <f>J91*0.5</f>
        <v>13928433.426775668</v>
      </c>
      <c r="K110" s="73">
        <f>K91*0.5</f>
        <v>13928433.426775668</v>
      </c>
      <c r="L110" s="73">
        <f>L91*0.5</f>
        <v>13928433.426775668</v>
      </c>
      <c r="M110" s="73">
        <f>M91*0.5</f>
        <v>13928433.426775668</v>
      </c>
      <c r="N110" s="73">
        <f>N91*0.5</f>
        <v>13928433.426775668</v>
      </c>
      <c r="O110" s="73">
        <f>O91*0.5</f>
        <v>13928433.426775668</v>
      </c>
      <c r="P110" s="73">
        <f>P91*0.5</f>
        <v>13928433.426775668</v>
      </c>
      <c r="Q110" s="73">
        <f>Q91*0.5</f>
        <v>13928433.426775668</v>
      </c>
      <c r="R110" s="73">
        <f>R91*0.5</f>
        <v>13928433.426775668</v>
      </c>
      <c r="S110" s="73">
        <f>S91*0.5</f>
        <v>13928433.426775668</v>
      </c>
      <c r="T110" s="73">
        <f>T91*0.5</f>
        <v>13928433.426775668</v>
      </c>
      <c r="U110" s="73">
        <f>U91*0.5</f>
        <v>13928433.426775668</v>
      </c>
      <c r="V110" s="73">
        <f>V91*0.5</f>
        <v>13928433.426775668</v>
      </c>
      <c r="W110" s="117">
        <f t="shared" ref="W110" si="30">SUM(B110:V110)</f>
        <v>228426308.19912091</v>
      </c>
    </row>
    <row r="111" spans="1:23" s="66" customFormat="1" x14ac:dyDescent="0.5">
      <c r="A111" s="67" t="s">
        <v>148</v>
      </c>
      <c r="B111" s="68">
        <v>130000000</v>
      </c>
      <c r="C111" s="73">
        <f>C92*0.2</f>
        <v>0</v>
      </c>
      <c r="D111" s="73">
        <f>D92*0.2</f>
        <v>0</v>
      </c>
      <c r="E111" s="73">
        <f>E92*0.2</f>
        <v>0</v>
      </c>
      <c r="F111" s="73">
        <f>F92*0.2</f>
        <v>0</v>
      </c>
      <c r="G111" s="73">
        <f>G92*0.2</f>
        <v>0</v>
      </c>
      <c r="H111" s="73">
        <f>H92*0.2</f>
        <v>0</v>
      </c>
      <c r="I111" s="73">
        <f>I92*0.5</f>
        <v>0</v>
      </c>
      <c r="J111" s="73">
        <f>J92*0.5</f>
        <v>0</v>
      </c>
      <c r="K111" s="73">
        <f>K92*0.5</f>
        <v>0</v>
      </c>
      <c r="L111" s="73">
        <f>L92*0.5</f>
        <v>0</v>
      </c>
      <c r="M111" s="73">
        <f>M92*0.5</f>
        <v>0</v>
      </c>
      <c r="N111" s="73">
        <f>N92*0.5</f>
        <v>0</v>
      </c>
      <c r="O111" s="73">
        <f>O92*0.5</f>
        <v>0</v>
      </c>
      <c r="P111" s="73">
        <f>P92*0.5</f>
        <v>0</v>
      </c>
      <c r="Q111" s="73">
        <f>Q92*0.5</f>
        <v>0</v>
      </c>
      <c r="R111" s="73">
        <f>R92*0.5</f>
        <v>0</v>
      </c>
      <c r="S111" s="73">
        <f>S92*0.5</f>
        <v>0</v>
      </c>
      <c r="T111" s="73">
        <f>T92*0.5</f>
        <v>0</v>
      </c>
      <c r="U111" s="73">
        <f>U92*0.5</f>
        <v>0</v>
      </c>
      <c r="V111" s="73">
        <f>V92*0.5</f>
        <v>0</v>
      </c>
      <c r="W111" s="117">
        <f t="shared" ref="W111" si="31">SUM(B111:V111)</f>
        <v>130000000</v>
      </c>
    </row>
    <row r="112" spans="1:23" s="66" customFormat="1" x14ac:dyDescent="0.5">
      <c r="A112" s="146" t="s">
        <v>25</v>
      </c>
      <c r="B112" s="147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</row>
    <row r="113" spans="1:23" s="67" customFormat="1" x14ac:dyDescent="0.5">
      <c r="A113" s="67" t="s">
        <v>158</v>
      </c>
      <c r="B113" s="71">
        <v>130000000</v>
      </c>
      <c r="C113" s="70">
        <v>0</v>
      </c>
      <c r="D113" s="70">
        <v>0</v>
      </c>
      <c r="E113" s="70">
        <v>0</v>
      </c>
      <c r="F113" s="70">
        <v>0</v>
      </c>
      <c r="G113" s="70">
        <v>0</v>
      </c>
      <c r="H113" s="70">
        <v>0</v>
      </c>
      <c r="I113" s="70">
        <v>0</v>
      </c>
      <c r="J113" s="70">
        <v>0</v>
      </c>
      <c r="K113" s="70">
        <v>0</v>
      </c>
      <c r="L113" s="70">
        <v>0</v>
      </c>
      <c r="M113" s="70">
        <v>0</v>
      </c>
      <c r="N113" s="70">
        <v>0</v>
      </c>
      <c r="O113" s="70">
        <v>0</v>
      </c>
      <c r="P113" s="70">
        <v>0</v>
      </c>
      <c r="Q113" s="70">
        <v>0</v>
      </c>
      <c r="R113" s="70">
        <v>0</v>
      </c>
      <c r="S113" s="70">
        <v>0</v>
      </c>
      <c r="T113" s="70">
        <v>0</v>
      </c>
      <c r="U113" s="70">
        <v>0</v>
      </c>
      <c r="V113" s="70">
        <v>0</v>
      </c>
      <c r="W113" s="69">
        <f>SUM(B113:V113)</f>
        <v>130000000</v>
      </c>
    </row>
    <row r="114" spans="1:23" s="67" customFormat="1" x14ac:dyDescent="0.5">
      <c r="A114" s="67" t="s">
        <v>149</v>
      </c>
      <c r="B114" s="71">
        <v>20000000</v>
      </c>
      <c r="C114" s="70">
        <v>0</v>
      </c>
      <c r="D114" s="70">
        <v>0</v>
      </c>
      <c r="E114" s="70">
        <v>0</v>
      </c>
      <c r="F114" s="70">
        <v>0</v>
      </c>
      <c r="G114" s="70">
        <v>0</v>
      </c>
      <c r="H114" s="70">
        <v>0</v>
      </c>
      <c r="I114" s="70">
        <v>0</v>
      </c>
      <c r="J114" s="70">
        <v>0</v>
      </c>
      <c r="K114" s="70">
        <v>0</v>
      </c>
      <c r="L114" s="70">
        <v>0</v>
      </c>
      <c r="M114" s="70">
        <v>0</v>
      </c>
      <c r="N114" s="70">
        <v>0</v>
      </c>
      <c r="O114" s="70">
        <v>0</v>
      </c>
      <c r="P114" s="70">
        <v>0</v>
      </c>
      <c r="Q114" s="70">
        <v>0</v>
      </c>
      <c r="R114" s="70">
        <v>0</v>
      </c>
      <c r="S114" s="70">
        <v>0</v>
      </c>
      <c r="T114" s="70">
        <v>0</v>
      </c>
      <c r="U114" s="70">
        <v>0</v>
      </c>
      <c r="V114" s="70">
        <v>0</v>
      </c>
      <c r="W114" s="69">
        <f>SUM(B114:V114)</f>
        <v>20000000</v>
      </c>
    </row>
    <row r="115" spans="1:23" s="67" customFormat="1" x14ac:dyDescent="0.5">
      <c r="A115" s="67" t="s">
        <v>150</v>
      </c>
      <c r="B115" s="71">
        <v>10000000</v>
      </c>
      <c r="C115" s="70">
        <v>0</v>
      </c>
      <c r="D115" s="70">
        <v>0</v>
      </c>
      <c r="E115" s="70">
        <v>0</v>
      </c>
      <c r="F115" s="70">
        <v>0</v>
      </c>
      <c r="G115" s="70">
        <v>0</v>
      </c>
      <c r="H115" s="70">
        <v>0</v>
      </c>
      <c r="I115" s="70">
        <v>0</v>
      </c>
      <c r="J115" s="70">
        <v>0</v>
      </c>
      <c r="K115" s="70">
        <v>0</v>
      </c>
      <c r="L115" s="70">
        <v>0</v>
      </c>
      <c r="M115" s="70">
        <v>0</v>
      </c>
      <c r="N115" s="70">
        <v>0</v>
      </c>
      <c r="O115" s="70">
        <v>0</v>
      </c>
      <c r="P115" s="70">
        <v>0</v>
      </c>
      <c r="Q115" s="70">
        <v>0</v>
      </c>
      <c r="R115" s="70">
        <v>0</v>
      </c>
      <c r="S115" s="70">
        <v>0</v>
      </c>
      <c r="T115" s="70">
        <v>0</v>
      </c>
      <c r="U115" s="70">
        <v>0</v>
      </c>
      <c r="V115" s="70">
        <v>0</v>
      </c>
      <c r="W115" s="69">
        <f>SUM(B115:V115)</f>
        <v>10000000</v>
      </c>
    </row>
    <row r="116" spans="1:23" s="67" customFormat="1" x14ac:dyDescent="0.5">
      <c r="A116" s="67" t="s">
        <v>157</v>
      </c>
      <c r="B116" s="71">
        <v>20000000</v>
      </c>
      <c r="C116" s="70">
        <v>0</v>
      </c>
      <c r="D116" s="70">
        <v>0</v>
      </c>
      <c r="E116" s="70">
        <v>0</v>
      </c>
      <c r="F116" s="70">
        <v>0</v>
      </c>
      <c r="G116" s="70">
        <v>0</v>
      </c>
      <c r="H116" s="70">
        <v>0</v>
      </c>
      <c r="I116" s="70">
        <v>0</v>
      </c>
      <c r="J116" s="70">
        <v>0</v>
      </c>
      <c r="K116" s="70">
        <v>0</v>
      </c>
      <c r="L116" s="70">
        <v>0</v>
      </c>
      <c r="M116" s="70">
        <v>0</v>
      </c>
      <c r="N116" s="70">
        <v>0</v>
      </c>
      <c r="O116" s="70">
        <v>0</v>
      </c>
      <c r="P116" s="70">
        <v>0</v>
      </c>
      <c r="Q116" s="70">
        <v>0</v>
      </c>
      <c r="R116" s="70">
        <v>0</v>
      </c>
      <c r="S116" s="70">
        <v>0</v>
      </c>
      <c r="T116" s="70">
        <v>0</v>
      </c>
      <c r="U116" s="70">
        <v>0</v>
      </c>
      <c r="V116" s="70">
        <v>0</v>
      </c>
      <c r="W116" s="69">
        <f>SUM(B116:V116)</f>
        <v>20000000</v>
      </c>
    </row>
    <row r="117" spans="1:23" s="67" customFormat="1" x14ac:dyDescent="0.5">
      <c r="A117" s="67" t="s">
        <v>151</v>
      </c>
      <c r="B117" s="71">
        <v>5000000</v>
      </c>
      <c r="C117" s="70">
        <v>0</v>
      </c>
      <c r="D117" s="70">
        <v>0</v>
      </c>
      <c r="E117" s="70">
        <v>0</v>
      </c>
      <c r="F117" s="70">
        <v>0</v>
      </c>
      <c r="G117" s="70">
        <v>0</v>
      </c>
      <c r="H117" s="70">
        <v>0</v>
      </c>
      <c r="I117" s="70">
        <v>0</v>
      </c>
      <c r="J117" s="70">
        <v>0</v>
      </c>
      <c r="K117" s="70">
        <v>0</v>
      </c>
      <c r="L117" s="70">
        <v>0</v>
      </c>
      <c r="M117" s="70">
        <v>0</v>
      </c>
      <c r="N117" s="70">
        <v>0</v>
      </c>
      <c r="O117" s="70">
        <v>0</v>
      </c>
      <c r="P117" s="70">
        <v>0</v>
      </c>
      <c r="Q117" s="70">
        <v>0</v>
      </c>
      <c r="R117" s="70">
        <v>0</v>
      </c>
      <c r="S117" s="70">
        <v>0</v>
      </c>
      <c r="T117" s="70">
        <v>0</v>
      </c>
      <c r="U117" s="70">
        <v>0</v>
      </c>
      <c r="V117" s="70">
        <v>0</v>
      </c>
      <c r="W117" s="69">
        <f>SUM(B117:V117)</f>
        <v>5000000</v>
      </c>
    </row>
    <row r="118" spans="1:23" s="67" customFormat="1" x14ac:dyDescent="0.5">
      <c r="A118" s="67" t="s">
        <v>152</v>
      </c>
      <c r="B118" s="72">
        <f>(330000*12)</f>
        <v>3960000</v>
      </c>
      <c r="C118" s="72">
        <f>(270000*12)+(30000*12)+(30000*12)</f>
        <v>3960000</v>
      </c>
      <c r="D118" s="72">
        <f>((270000*12)*1.01)+(30000*12)+(30000*12)</f>
        <v>3992400</v>
      </c>
      <c r="E118" s="72">
        <f t="shared" ref="E118:V118" si="32">((270000*12)*1.01)+(30000*12)+(30000*12)</f>
        <v>3992400</v>
      </c>
      <c r="F118" s="72">
        <f t="shared" si="32"/>
        <v>3992400</v>
      </c>
      <c r="G118" s="72">
        <f t="shared" si="32"/>
        <v>3992400</v>
      </c>
      <c r="H118" s="72">
        <f t="shared" si="32"/>
        <v>3992400</v>
      </c>
      <c r="I118" s="72">
        <f t="shared" si="32"/>
        <v>3992400</v>
      </c>
      <c r="J118" s="72">
        <f t="shared" si="32"/>
        <v>3992400</v>
      </c>
      <c r="K118" s="72">
        <f t="shared" si="32"/>
        <v>3992400</v>
      </c>
      <c r="L118" s="72">
        <f t="shared" si="32"/>
        <v>3992400</v>
      </c>
      <c r="M118" s="72">
        <f t="shared" si="32"/>
        <v>3992400</v>
      </c>
      <c r="N118" s="72">
        <f t="shared" si="32"/>
        <v>3992400</v>
      </c>
      <c r="O118" s="72">
        <f t="shared" si="32"/>
        <v>3992400</v>
      </c>
      <c r="P118" s="72">
        <f t="shared" si="32"/>
        <v>3992400</v>
      </c>
      <c r="Q118" s="72">
        <f t="shared" si="32"/>
        <v>3992400</v>
      </c>
      <c r="R118" s="72">
        <f t="shared" si="32"/>
        <v>3992400</v>
      </c>
      <c r="S118" s="72">
        <f t="shared" si="32"/>
        <v>3992400</v>
      </c>
      <c r="T118" s="72">
        <f t="shared" si="32"/>
        <v>3992400</v>
      </c>
      <c r="U118" s="72">
        <f t="shared" si="32"/>
        <v>3992400</v>
      </c>
      <c r="V118" s="72">
        <f t="shared" si="32"/>
        <v>3992400</v>
      </c>
      <c r="W118" s="69">
        <f>SUM(C118:V118)</f>
        <v>79815600</v>
      </c>
    </row>
    <row r="119" spans="1:23" s="67" customFormat="1" x14ac:dyDescent="0.5">
      <c r="A119" s="67" t="s">
        <v>153</v>
      </c>
      <c r="B119" s="72">
        <v>200000</v>
      </c>
      <c r="C119" s="72">
        <f>B119</f>
        <v>200000</v>
      </c>
      <c r="D119" s="72">
        <f>C119</f>
        <v>200000</v>
      </c>
      <c r="E119" s="72">
        <f t="shared" ref="E119:F119" si="33">D119</f>
        <v>200000</v>
      </c>
      <c r="F119" s="72">
        <f t="shared" si="33"/>
        <v>200000</v>
      </c>
      <c r="G119" s="72">
        <f>F119</f>
        <v>200000</v>
      </c>
      <c r="H119" s="72">
        <f t="shared" ref="H119:V119" si="34">G119</f>
        <v>200000</v>
      </c>
      <c r="I119" s="72">
        <f t="shared" si="34"/>
        <v>200000</v>
      </c>
      <c r="J119" s="72">
        <f t="shared" si="34"/>
        <v>200000</v>
      </c>
      <c r="K119" s="72">
        <f t="shared" si="34"/>
        <v>200000</v>
      </c>
      <c r="L119" s="72">
        <f t="shared" si="34"/>
        <v>200000</v>
      </c>
      <c r="M119" s="72">
        <f t="shared" si="34"/>
        <v>200000</v>
      </c>
      <c r="N119" s="72">
        <f t="shared" si="34"/>
        <v>200000</v>
      </c>
      <c r="O119" s="72">
        <f t="shared" si="34"/>
        <v>200000</v>
      </c>
      <c r="P119" s="72">
        <f t="shared" si="34"/>
        <v>200000</v>
      </c>
      <c r="Q119" s="72">
        <f t="shared" si="34"/>
        <v>200000</v>
      </c>
      <c r="R119" s="72">
        <f t="shared" si="34"/>
        <v>200000</v>
      </c>
      <c r="S119" s="72">
        <f t="shared" si="34"/>
        <v>200000</v>
      </c>
      <c r="T119" s="72">
        <f t="shared" si="34"/>
        <v>200000</v>
      </c>
      <c r="U119" s="72">
        <f t="shared" si="34"/>
        <v>200000</v>
      </c>
      <c r="V119" s="72">
        <f t="shared" si="34"/>
        <v>200000</v>
      </c>
      <c r="W119" s="69">
        <f t="shared" ref="W119:W125" si="35">SUM(C119:V119)</f>
        <v>4000000</v>
      </c>
    </row>
    <row r="120" spans="1:23" s="67" customFormat="1" x14ac:dyDescent="0.5">
      <c r="A120" s="67" t="s">
        <v>154</v>
      </c>
      <c r="B120" s="71">
        <v>0</v>
      </c>
      <c r="C120" s="70">
        <v>0</v>
      </c>
      <c r="D120" s="70">
        <v>0</v>
      </c>
      <c r="E120" s="73">
        <f>$B$49*0.5%</f>
        <v>650000</v>
      </c>
      <c r="F120" s="73">
        <f t="shared" ref="F120:G120" si="36">$B$49*0.5%</f>
        <v>650000</v>
      </c>
      <c r="G120" s="73">
        <f t="shared" si="36"/>
        <v>650000</v>
      </c>
      <c r="H120" s="73">
        <f>$B$49*0.75%</f>
        <v>975000</v>
      </c>
      <c r="I120" s="73">
        <f t="shared" ref="I120:L120" si="37">$B$49*0.75%</f>
        <v>975000</v>
      </c>
      <c r="J120" s="73">
        <f t="shared" si="37"/>
        <v>975000</v>
      </c>
      <c r="K120" s="73">
        <f t="shared" si="37"/>
        <v>975000</v>
      </c>
      <c r="L120" s="73">
        <f t="shared" si="37"/>
        <v>975000</v>
      </c>
      <c r="M120" s="73">
        <f>$B$49*1%</f>
        <v>1300000</v>
      </c>
      <c r="N120" s="73">
        <f t="shared" ref="N120:Q120" si="38">$B$49*1%</f>
        <v>1300000</v>
      </c>
      <c r="O120" s="73">
        <f t="shared" si="38"/>
        <v>1300000</v>
      </c>
      <c r="P120" s="73">
        <f t="shared" si="38"/>
        <v>1300000</v>
      </c>
      <c r="Q120" s="73">
        <f t="shared" si="38"/>
        <v>1300000</v>
      </c>
      <c r="R120" s="73">
        <f>$B$49*1.5%</f>
        <v>1950000</v>
      </c>
      <c r="S120" s="73">
        <f t="shared" ref="S120:V120" si="39">$B$49*1.5%</f>
        <v>1950000</v>
      </c>
      <c r="T120" s="73">
        <f t="shared" si="39"/>
        <v>1950000</v>
      </c>
      <c r="U120" s="73">
        <f t="shared" si="39"/>
        <v>1950000</v>
      </c>
      <c r="V120" s="73">
        <f t="shared" si="39"/>
        <v>1950000</v>
      </c>
      <c r="W120" s="69">
        <f t="shared" si="35"/>
        <v>23075000</v>
      </c>
    </row>
    <row r="121" spans="1:23" s="67" customFormat="1" x14ac:dyDescent="0.5">
      <c r="A121" s="67" t="s">
        <v>155</v>
      </c>
      <c r="B121" s="71">
        <v>0</v>
      </c>
      <c r="C121" s="72">
        <v>300000</v>
      </c>
      <c r="D121" s="72">
        <f>C121*1.03</f>
        <v>309000</v>
      </c>
      <c r="E121" s="72">
        <f t="shared" ref="E121" si="40">D121*1.03</f>
        <v>318270</v>
      </c>
      <c r="F121" s="72">
        <f t="shared" ref="F121" si="41">E121*1.03</f>
        <v>327818.10000000003</v>
      </c>
      <c r="G121" s="72">
        <f t="shared" ref="G121" si="42">F121*1.03</f>
        <v>337652.64300000004</v>
      </c>
      <c r="H121" s="72">
        <f t="shared" ref="H121" si="43">G121*1.03</f>
        <v>347782.22229000006</v>
      </c>
      <c r="I121" s="72">
        <f t="shared" ref="I121" si="44">H121*1.03</f>
        <v>358215.68895870005</v>
      </c>
      <c r="J121" s="72">
        <f t="shared" ref="J121" si="45">I121*1.03</f>
        <v>368962.15962746105</v>
      </c>
      <c r="K121" s="72">
        <f t="shared" ref="K121" si="46">J121*1.03</f>
        <v>380031.02441628487</v>
      </c>
      <c r="L121" s="72">
        <f t="shared" ref="L121" si="47">K121*1.03</f>
        <v>391431.95514877344</v>
      </c>
      <c r="M121" s="72">
        <f t="shared" ref="M121" si="48">L121*1.03</f>
        <v>403174.91380323668</v>
      </c>
      <c r="N121" s="72">
        <f t="shared" ref="N121" si="49">M121*1.03</f>
        <v>415270.16121733381</v>
      </c>
      <c r="O121" s="72">
        <f t="shared" ref="O121" si="50">N121*1.03</f>
        <v>427728.26605385385</v>
      </c>
      <c r="P121" s="72">
        <f t="shared" ref="P121" si="51">O121*1.03</f>
        <v>440560.11403546948</v>
      </c>
      <c r="Q121" s="72">
        <f t="shared" ref="Q121" si="52">P121*1.03</f>
        <v>453776.91745653359</v>
      </c>
      <c r="R121" s="72">
        <f t="shared" ref="R121" si="53">Q121*1.03</f>
        <v>467390.22498022963</v>
      </c>
      <c r="S121" s="72">
        <f t="shared" ref="S121" si="54">R121*1.03</f>
        <v>481411.9317296365</v>
      </c>
      <c r="T121" s="72">
        <f t="shared" ref="T121" si="55">S121*1.03</f>
        <v>495854.28968152561</v>
      </c>
      <c r="U121" s="72">
        <f t="shared" ref="U121" si="56">T121*1.03</f>
        <v>510729.91837197141</v>
      </c>
      <c r="V121" s="72">
        <f t="shared" ref="V121" si="57">U121*1.03</f>
        <v>526051.81592313061</v>
      </c>
      <c r="W121" s="69">
        <f t="shared" ref="W121" si="58">SUM(C121:V121)</f>
        <v>8061112.3466941398</v>
      </c>
    </row>
    <row r="122" spans="1:23" s="67" customFormat="1" x14ac:dyDescent="0.5">
      <c r="A122" s="67" t="s">
        <v>176</v>
      </c>
      <c r="B122" s="71">
        <f>B96</f>
        <v>2600000</v>
      </c>
      <c r="C122" s="71">
        <f>C96</f>
        <v>7800000</v>
      </c>
      <c r="D122" s="71">
        <f>D96</f>
        <v>6462870.3910295349</v>
      </c>
      <c r="E122" s="71">
        <f>E96</f>
        <v>5125740.7820590707</v>
      </c>
      <c r="F122" s="71">
        <f>F96</f>
        <v>3788611.1730886064</v>
      </c>
      <c r="G122" s="71">
        <f>G96</f>
        <v>2451481.5641181422</v>
      </c>
      <c r="H122" s="71">
        <f>H96</f>
        <v>1114351.9551476778</v>
      </c>
      <c r="I122" s="71">
        <f>I96</f>
        <v>445787.15066244575</v>
      </c>
      <c r="J122" s="71">
        <f>J96</f>
        <v>0</v>
      </c>
      <c r="K122" s="71">
        <f>K96</f>
        <v>0</v>
      </c>
      <c r="L122" s="71">
        <f>L96</f>
        <v>0</v>
      </c>
      <c r="M122" s="71">
        <f>M96</f>
        <v>0</v>
      </c>
      <c r="N122" s="71">
        <f>N96</f>
        <v>0</v>
      </c>
      <c r="O122" s="71">
        <f>O96</f>
        <v>0</v>
      </c>
      <c r="P122" s="71">
        <f>P96</f>
        <v>0</v>
      </c>
      <c r="Q122" s="71">
        <f>Q96</f>
        <v>0</v>
      </c>
      <c r="R122" s="71">
        <f>R96</f>
        <v>0</v>
      </c>
      <c r="S122" s="71">
        <f>S96</f>
        <v>0</v>
      </c>
      <c r="T122" s="71">
        <f>T96</f>
        <v>0</v>
      </c>
      <c r="U122" s="71">
        <f>U96</f>
        <v>0</v>
      </c>
      <c r="V122" s="71">
        <f>V96</f>
        <v>0</v>
      </c>
      <c r="W122" s="69">
        <f>SUM(C122:V122)*-1</f>
        <v>-27188843.016105477</v>
      </c>
    </row>
    <row r="123" spans="1:23" s="67" customFormat="1" ht="22.5" x14ac:dyDescent="0.45">
      <c r="A123" s="151" t="s">
        <v>138</v>
      </c>
      <c r="B123" s="152">
        <f>SUM(B113:B122)</f>
        <v>191760000</v>
      </c>
      <c r="C123" s="152">
        <f>SUM(C113:C122)</f>
        <v>12260000</v>
      </c>
      <c r="D123" s="152">
        <f>SUM(D113:D122)</f>
        <v>10964270.391029535</v>
      </c>
      <c r="E123" s="152">
        <f>SUM(E113:E122)</f>
        <v>10286410.78205907</v>
      </c>
      <c r="F123" s="152">
        <f>SUM(F113:F122)</f>
        <v>8958829.2730886061</v>
      </c>
      <c r="G123" s="152">
        <f>SUM(G113:G122)</f>
        <v>7631534.2071181424</v>
      </c>
      <c r="H123" s="152">
        <f>SUM(H113:H122)</f>
        <v>6629534.177437678</v>
      </c>
      <c r="I123" s="152">
        <f>SUM(I113:I122)</f>
        <v>5971402.8396211453</v>
      </c>
      <c r="J123" s="152">
        <f>SUM(J113:J122)</f>
        <v>5536362.1596274609</v>
      </c>
      <c r="K123" s="152">
        <f>SUM(K113:K122)</f>
        <v>5547431.0244162846</v>
      </c>
      <c r="L123" s="152">
        <f>SUM(L113:L122)</f>
        <v>5558831.9551487733</v>
      </c>
      <c r="M123" s="152">
        <f>SUM(M113:M122)</f>
        <v>5895574.9138032366</v>
      </c>
      <c r="N123" s="152">
        <f>SUM(N113:N122)</f>
        <v>5907670.1612173337</v>
      </c>
      <c r="O123" s="152">
        <f>SUM(O113:O122)</f>
        <v>5920128.2660538536</v>
      </c>
      <c r="P123" s="152">
        <f>SUM(P113:P122)</f>
        <v>5932960.1140354695</v>
      </c>
      <c r="Q123" s="152">
        <f>SUM(Q113:Q122)</f>
        <v>5946176.9174565338</v>
      </c>
      <c r="R123" s="152">
        <f>SUM(R113:R122)</f>
        <v>6609790.2249802295</v>
      </c>
      <c r="S123" s="152">
        <f>SUM(S113:S122)</f>
        <v>6623811.9317296362</v>
      </c>
      <c r="T123" s="152">
        <f>SUM(T113:T122)</f>
        <v>6638254.2896815259</v>
      </c>
      <c r="U123" s="152">
        <f>SUM(U113:U122)</f>
        <v>6653129.9183719717</v>
      </c>
      <c r="V123" s="152">
        <f>SUM(V113:V122)</f>
        <v>6668451.8159231301</v>
      </c>
      <c r="W123" s="152">
        <f>SUM(C123:V123)*-1</f>
        <v>-142140555.36279961</v>
      </c>
    </row>
    <row r="124" spans="1:23" s="67" customFormat="1" ht="22.5" x14ac:dyDescent="0.45">
      <c r="A124" s="118" t="s">
        <v>137</v>
      </c>
      <c r="B124" s="140">
        <f>B110+B111-B123</f>
        <v>-61760000</v>
      </c>
      <c r="C124" s="119">
        <f>C110-C123</f>
        <v>-6688626.6292897323</v>
      </c>
      <c r="D124" s="119">
        <f t="shared" ref="D124:V124" si="59">D110-D123</f>
        <v>-5392897.0203192672</v>
      </c>
      <c r="E124" s="119">
        <f t="shared" si="59"/>
        <v>-4715037.411348802</v>
      </c>
      <c r="F124" s="119">
        <f t="shared" si="59"/>
        <v>-3387455.9023783384</v>
      </c>
      <c r="G124" s="119">
        <f t="shared" si="59"/>
        <v>-2060160.8364078747</v>
      </c>
      <c r="H124" s="119">
        <f t="shared" si="59"/>
        <v>-1058160.8067274103</v>
      </c>
      <c r="I124" s="119">
        <f t="shared" si="59"/>
        <v>7957030.5871545225</v>
      </c>
      <c r="J124" s="119">
        <f t="shared" si="59"/>
        <v>8392071.2671482079</v>
      </c>
      <c r="K124" s="119">
        <f t="shared" si="59"/>
        <v>8381002.4023593832</v>
      </c>
      <c r="L124" s="119">
        <f t="shared" si="59"/>
        <v>8369601.4716268945</v>
      </c>
      <c r="M124" s="119">
        <f t="shared" si="59"/>
        <v>8032858.5129724313</v>
      </c>
      <c r="N124" s="119">
        <f t="shared" si="59"/>
        <v>8020763.2655583341</v>
      </c>
      <c r="O124" s="119">
        <f t="shared" si="59"/>
        <v>8008305.1607218143</v>
      </c>
      <c r="P124" s="119">
        <f t="shared" si="59"/>
        <v>7995473.3127401983</v>
      </c>
      <c r="Q124" s="119">
        <f t="shared" si="59"/>
        <v>7982256.5093191341</v>
      </c>
      <c r="R124" s="119">
        <f t="shared" si="59"/>
        <v>7318643.2017954383</v>
      </c>
      <c r="S124" s="119">
        <f t="shared" si="59"/>
        <v>7304621.4950460317</v>
      </c>
      <c r="T124" s="119">
        <f t="shared" si="59"/>
        <v>7290179.1370941419</v>
      </c>
      <c r="U124" s="119">
        <f t="shared" si="59"/>
        <v>7275303.5084036961</v>
      </c>
      <c r="V124" s="119">
        <f t="shared" si="59"/>
        <v>7259981.6108525377</v>
      </c>
      <c r="W124" s="119">
        <f t="shared" si="35"/>
        <v>86285752.836321354</v>
      </c>
    </row>
    <row r="125" spans="1:23" s="74" customFormat="1" x14ac:dyDescent="0.5">
      <c r="A125" s="74" t="s">
        <v>143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v>0</v>
      </c>
      <c r="H125" s="75">
        <v>0</v>
      </c>
      <c r="I125" s="75">
        <f t="shared" ref="I125:V125" si="60">I124*15%</f>
        <v>1193554.5880731784</v>
      </c>
      <c r="J125" s="75">
        <f t="shared" si="60"/>
        <v>1258810.6900722312</v>
      </c>
      <c r="K125" s="75">
        <f t="shared" si="60"/>
        <v>1257150.3603539073</v>
      </c>
      <c r="L125" s="75">
        <f t="shared" si="60"/>
        <v>1255440.220744034</v>
      </c>
      <c r="M125" s="75">
        <f t="shared" si="60"/>
        <v>1204928.7769458645</v>
      </c>
      <c r="N125" s="75">
        <f t="shared" si="60"/>
        <v>1203114.4898337501</v>
      </c>
      <c r="O125" s="75">
        <f t="shared" si="60"/>
        <v>1201245.774108272</v>
      </c>
      <c r="P125" s="75">
        <f t="shared" si="60"/>
        <v>1199320.9969110298</v>
      </c>
      <c r="Q125" s="75">
        <f t="shared" si="60"/>
        <v>1197338.4763978701</v>
      </c>
      <c r="R125" s="75">
        <f t="shared" si="60"/>
        <v>1097796.4802693157</v>
      </c>
      <c r="S125" s="75">
        <f t="shared" si="60"/>
        <v>1095693.2242569048</v>
      </c>
      <c r="T125" s="75">
        <f t="shared" si="60"/>
        <v>1093526.8705641213</v>
      </c>
      <c r="U125" s="75">
        <f t="shared" si="60"/>
        <v>1091295.5262605543</v>
      </c>
      <c r="V125" s="75">
        <f t="shared" si="60"/>
        <v>1088997.2416278806</v>
      </c>
      <c r="W125" s="132">
        <f t="shared" si="35"/>
        <v>16438213.716418914</v>
      </c>
    </row>
    <row r="126" spans="1:23" s="67" customFormat="1" x14ac:dyDescent="0.5">
      <c r="A126" s="142" t="s">
        <v>95</v>
      </c>
      <c r="B126" s="153">
        <f>B110+B111-B113-B114-B115-B116-B117-B118-B119-B120-B122-B125</f>
        <v>-61760000</v>
      </c>
      <c r="C126" s="153">
        <f>C110-C114-C115-C116-C117-C118-C119-C120-C122-C125</f>
        <v>-6388626.6292897323</v>
      </c>
      <c r="D126" s="153">
        <f>D110-D114-D115-D116-D117-D118-D119-D120-D122-D125</f>
        <v>-5083897.0203192672</v>
      </c>
      <c r="E126" s="153">
        <f>E110-E114-E115-E116-E117-E118-E119-E120-E122-E125</f>
        <v>-4396767.411348803</v>
      </c>
      <c r="F126" s="153">
        <f>F110-F114-F115-F116-F117-F118-F119-F120-F122-F125</f>
        <v>-3059637.8023783388</v>
      </c>
      <c r="G126" s="153">
        <f>G110-G114-G115-G116-G117-G118-G119-G120-G122-G125</f>
        <v>-1722508.1934078746</v>
      </c>
      <c r="H126" s="153">
        <f>H110-H114-H115-H116-H117-H118-H119-H120-H122-H125</f>
        <v>-710378.58443741011</v>
      </c>
      <c r="I126" s="153">
        <f>I110-I114-I115-I116-I117-I118-I119-I120-I122-I125</f>
        <v>7121691.6880400442</v>
      </c>
      <c r="J126" s="153">
        <f>J110-J114-J115-J116-J117-J118-J119-J120-J122-J125</f>
        <v>7502222.7367034368</v>
      </c>
      <c r="K126" s="153">
        <f>K110-K114-K115-K116-K117-K118-K119-K120-K122-K125</f>
        <v>7503883.0664217602</v>
      </c>
      <c r="L126" s="153">
        <f>L110-L114-L115-L116-L117-L118-L119-L120-L122-L125</f>
        <v>7505593.2060316335</v>
      </c>
      <c r="M126" s="153">
        <f>M110-M114-M115-M116-M117-M118-M119-M120-M122-M125</f>
        <v>7231104.649829803</v>
      </c>
      <c r="N126" s="153">
        <f>N110-N114-N115-N116-N117-N118-N119-N120-N122-N125</f>
        <v>7232918.936941918</v>
      </c>
      <c r="O126" s="153">
        <f>O110-O114-O115-O116-O117-O118-O119-O120-O122-O125</f>
        <v>7234787.6526673958</v>
      </c>
      <c r="P126" s="153">
        <f>P110-P114-P115-P116-P117-P118-P119-P120-P122-P125</f>
        <v>7236712.4298646376</v>
      </c>
      <c r="Q126" s="153">
        <f>Q110-Q114-Q115-Q116-Q117-Q118-Q119-Q120-Q122-Q125</f>
        <v>7238694.9503777977</v>
      </c>
      <c r="R126" s="153">
        <f>R110-R114-R115-R116-R117-R118-R119-R120-R122-R125</f>
        <v>6688236.9465063522</v>
      </c>
      <c r="S126" s="153">
        <f>S110-S114-S115-S116-S117-S118-S119-S120-S122-S125</f>
        <v>6690340.202518763</v>
      </c>
      <c r="T126" s="153">
        <f>T110-T114-T115-T116-T117-T118-T119-T120-T122-T125</f>
        <v>6692506.5562115461</v>
      </c>
      <c r="U126" s="153">
        <f>U110-U114-U115-U116-U117-U118-U119-U120-U122-U125</f>
        <v>6694737.900515113</v>
      </c>
      <c r="V126" s="153">
        <f>V110-V114-V115-V116-V117-V118-V119-V120-V122-V125</f>
        <v>6697036.1851477874</v>
      </c>
      <c r="W126" s="153">
        <f>SUM(B126:V126)</f>
        <v>16148651.466596566</v>
      </c>
    </row>
    <row r="127" spans="1:23" s="130" customFormat="1" x14ac:dyDescent="0.5"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</row>
    <row r="128" spans="1:23" s="76" customFormat="1" x14ac:dyDescent="0.5"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</row>
    <row r="129" spans="1:22" s="76" customFormat="1" x14ac:dyDescent="0.5"/>
    <row r="130" spans="1:22" s="76" customFormat="1" x14ac:dyDescent="0.5"/>
    <row r="131" spans="1:22" s="76" customFormat="1" x14ac:dyDescent="0.5"/>
    <row r="132" spans="1:22" s="76" customFormat="1" x14ac:dyDescent="0.5"/>
    <row r="133" spans="1:22" s="76" customFormat="1" x14ac:dyDescent="0.5"/>
    <row r="134" spans="1:22" s="76" customFormat="1" x14ac:dyDescent="0.5"/>
    <row r="135" spans="1:22" s="76" customFormat="1" x14ac:dyDescent="0.5"/>
    <row r="136" spans="1:22" s="76" customFormat="1" x14ac:dyDescent="0.5"/>
    <row r="137" spans="1:22" s="76" customFormat="1" x14ac:dyDescent="0.5"/>
    <row r="138" spans="1:22" s="76" customFormat="1" x14ac:dyDescent="0.5"/>
    <row r="139" spans="1:22" s="76" customFormat="1" x14ac:dyDescent="0.5"/>
    <row r="140" spans="1:22" s="76" customFormat="1" x14ac:dyDescent="0.5"/>
    <row r="141" spans="1:22" s="76" customFormat="1" x14ac:dyDescent="0.5"/>
    <row r="142" spans="1:22" s="76" customFormat="1" x14ac:dyDescent="0.5">
      <c r="A142" s="78" t="s">
        <v>53</v>
      </c>
      <c r="B142" s="79"/>
      <c r="C142" s="79"/>
      <c r="G142" s="78" t="s">
        <v>96</v>
      </c>
      <c r="H142" s="79"/>
    </row>
    <row r="143" spans="1:22" s="76" customFormat="1" x14ac:dyDescent="0.5">
      <c r="A143" s="81" t="s">
        <v>175</v>
      </c>
      <c r="B143" s="141">
        <f>NPV(0.06,B105:V105)</f>
        <v>19682277.627220266</v>
      </c>
      <c r="C143" s="82"/>
      <c r="G143" s="165" t="s">
        <v>175</v>
      </c>
      <c r="H143" s="165"/>
      <c r="I143" s="165"/>
      <c r="J143" s="141"/>
      <c r="K143" s="141">
        <f>NPV(0.06,B126:V126)</f>
        <v>-31470652.449184861</v>
      </c>
    </row>
    <row r="144" spans="1:22" s="80" customFormat="1" x14ac:dyDescent="0.5">
      <c r="A144" s="81" t="s">
        <v>27</v>
      </c>
      <c r="B144" s="83">
        <f>IRR(B105:V105,0.06)</f>
        <v>8.7169705383726592E-2</v>
      </c>
      <c r="C144" s="46"/>
      <c r="D144" s="79"/>
      <c r="E144" s="79"/>
      <c r="F144" s="79"/>
      <c r="G144" s="165" t="s">
        <v>27</v>
      </c>
      <c r="H144" s="165"/>
      <c r="I144" s="165"/>
      <c r="J144" s="83"/>
      <c r="K144" s="83">
        <f>IRR(B126:V126,0.06)</f>
        <v>1.4204443557899626E-2</v>
      </c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</row>
    <row r="145" spans="1:22" x14ac:dyDescent="0.5">
      <c r="A145" s="81" t="s">
        <v>30</v>
      </c>
      <c r="B145" s="84">
        <v>5.92</v>
      </c>
      <c r="C145" s="85"/>
      <c r="G145" s="165" t="s">
        <v>30</v>
      </c>
      <c r="H145" s="165"/>
      <c r="I145" s="165"/>
      <c r="J145" s="165"/>
      <c r="K145" s="141"/>
    </row>
    <row r="146" spans="1:22" x14ac:dyDescent="0.5">
      <c r="A146" s="78"/>
      <c r="B146" s="46" t="s">
        <v>31</v>
      </c>
      <c r="G146" s="78"/>
      <c r="K146" s="166"/>
    </row>
    <row r="147" spans="1:22" x14ac:dyDescent="0.5">
      <c r="E147" s="46" t="s">
        <v>31</v>
      </c>
    </row>
    <row r="149" spans="1:22" s="76" customFormat="1" x14ac:dyDescent="0.5">
      <c r="C149" s="86"/>
    </row>
    <row r="150" spans="1:22" s="80" customFormat="1" x14ac:dyDescent="0.5">
      <c r="B150" s="79"/>
      <c r="C150" s="87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</row>
    <row r="151" spans="1:22" s="80" customFormat="1" x14ac:dyDescent="0.5"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</row>
    <row r="152" spans="1:22" s="80" customFormat="1" x14ac:dyDescent="0.5"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</row>
    <row r="153" spans="1:22" x14ac:dyDescent="0.5">
      <c r="C153" s="82"/>
    </row>
    <row r="155" spans="1:22" x14ac:dyDescent="0.5">
      <c r="C155" s="85"/>
      <c r="D155" s="46" t="s">
        <v>31</v>
      </c>
      <c r="E155" s="46" t="s">
        <v>31</v>
      </c>
    </row>
  </sheetData>
  <mergeCells count="9">
    <mergeCell ref="G143:I143"/>
    <mergeCell ref="G144:I144"/>
    <mergeCell ref="G145:J145"/>
    <mergeCell ref="B82:C82"/>
    <mergeCell ref="B86:C86"/>
    <mergeCell ref="A47:C47"/>
    <mergeCell ref="B83:C83"/>
    <mergeCell ref="B84:C84"/>
    <mergeCell ref="B85:C85"/>
  </mergeCells>
  <pageMargins left="0.25" right="0.25" top="0.75" bottom="0.75" header="0.3" footer="0.3"/>
  <pageSetup paperSize="9" scale="38" orientation="landscape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34"/>
  <sheetViews>
    <sheetView topLeftCell="B22" zoomScale="99" zoomScaleNormal="99" workbookViewId="0">
      <selection activeCell="D31" sqref="D31:V31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36</v>
      </c>
      <c r="D3" s="1"/>
    </row>
    <row r="4" spans="1:22" x14ac:dyDescent="0.25">
      <c r="A4" s="1" t="s">
        <v>38</v>
      </c>
      <c r="B4" s="2">
        <f>999.8*5</f>
        <v>4999</v>
      </c>
      <c r="C4" s="1" t="s">
        <v>74</v>
      </c>
      <c r="D4" s="1"/>
    </row>
    <row r="5" spans="1:22" x14ac:dyDescent="0.25">
      <c r="A5" s="23" t="s">
        <v>39</v>
      </c>
      <c r="B5" s="2"/>
      <c r="C5" s="1"/>
      <c r="D5" s="1"/>
    </row>
    <row r="6" spans="1:22" x14ac:dyDescent="0.25">
      <c r="A6" s="24" t="s">
        <v>40</v>
      </c>
      <c r="B6" s="2"/>
      <c r="C6" s="1"/>
      <c r="D6" s="1"/>
    </row>
    <row r="7" spans="1:22" x14ac:dyDescent="0.25">
      <c r="A7" s="3" t="s">
        <v>42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32</v>
      </c>
    </row>
    <row r="8" spans="1:22" x14ac:dyDescent="0.25">
      <c r="A8" s="24" t="s">
        <v>41</v>
      </c>
      <c r="B8" s="3"/>
      <c r="C8" s="1"/>
      <c r="D8" s="1"/>
    </row>
    <row r="9" spans="1:22" x14ac:dyDescent="0.25">
      <c r="A9" s="3" t="s">
        <v>42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32</v>
      </c>
    </row>
    <row r="10" spans="1:22" ht="22.15" customHeight="1" x14ac:dyDescent="0.25">
      <c r="A10" s="35" t="s">
        <v>56</v>
      </c>
      <c r="B10" s="3">
        <v>130000000</v>
      </c>
      <c r="C10" s="1" t="s">
        <v>32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73</v>
      </c>
      <c r="B13" s="3">
        <v>27167510</v>
      </c>
      <c r="C13" s="1" t="s">
        <v>32</v>
      </c>
      <c r="D13" s="1"/>
      <c r="F13" s="36"/>
    </row>
    <row r="14" spans="1:22" ht="26.45" customHeight="1" x14ac:dyDescent="0.25">
      <c r="A14" s="1" t="s">
        <v>57</v>
      </c>
      <c r="B14" s="3">
        <v>20000000</v>
      </c>
      <c r="C14" s="1" t="s">
        <v>32</v>
      </c>
      <c r="D14" s="1"/>
      <c r="F14" s="36"/>
    </row>
    <row r="15" spans="1:22" ht="22.9" customHeight="1" x14ac:dyDescent="0.25">
      <c r="A15" s="1" t="s">
        <v>54</v>
      </c>
      <c r="B15" s="3">
        <v>300000</v>
      </c>
      <c r="C15" s="1" t="s">
        <v>43</v>
      </c>
      <c r="D15" s="1"/>
      <c r="F15" s="36"/>
    </row>
    <row r="16" spans="1:22" ht="21" customHeight="1" x14ac:dyDescent="0.25">
      <c r="A16" s="1" t="s">
        <v>46</v>
      </c>
      <c r="B16" s="41">
        <v>0.01</v>
      </c>
      <c r="C16" s="1" t="s">
        <v>45</v>
      </c>
      <c r="D16" s="1"/>
      <c r="F16" s="36"/>
    </row>
    <row r="17" spans="1:23" x14ac:dyDescent="0.25">
      <c r="A17" s="3" t="s">
        <v>47</v>
      </c>
      <c r="B17" s="41">
        <v>0.3</v>
      </c>
      <c r="C17" s="1" t="s">
        <v>48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51</v>
      </c>
      <c r="B23" s="6">
        <v>0</v>
      </c>
      <c r="C23" s="6">
        <f>((($B$4*$B$7*$F$7)-((($B$4*$B$7*$F$7)*10%))+((($B$4*$B$9)*$F$9)+((($B$4*$B$7)*$F$9)*10%))))</f>
        <v>5561705.1934486004</v>
      </c>
      <c r="D23" s="6">
        <f t="shared" ref="D23:V23" si="0">((($B$4*$B$7*$F$7)-((($B$4*$B$7*$F$7)*10%))+((($B$4*$B$9)*$F$9)+((($B$4*$B$7)*$F$9)*10%))))</f>
        <v>5561705.1934486004</v>
      </c>
      <c r="E23" s="6">
        <f t="shared" si="0"/>
        <v>5561705.1934486004</v>
      </c>
      <c r="F23" s="6">
        <f t="shared" si="0"/>
        <v>5561705.1934486004</v>
      </c>
      <c r="G23" s="6">
        <f t="shared" si="0"/>
        <v>5561705.1934486004</v>
      </c>
      <c r="H23" s="6">
        <f t="shared" si="0"/>
        <v>5561705.1934486004</v>
      </c>
      <c r="I23" s="6">
        <f t="shared" si="0"/>
        <v>5561705.1934486004</v>
      </c>
      <c r="J23" s="6">
        <f t="shared" si="0"/>
        <v>5561705.1934486004</v>
      </c>
      <c r="K23" s="6">
        <f t="shared" si="0"/>
        <v>5561705.1934486004</v>
      </c>
      <c r="L23" s="6">
        <f t="shared" si="0"/>
        <v>5561705.1934486004</v>
      </c>
      <c r="M23" s="6">
        <f t="shared" si="0"/>
        <v>5561705.1934486004</v>
      </c>
      <c r="N23" s="6">
        <f t="shared" si="0"/>
        <v>5561705.1934486004</v>
      </c>
      <c r="O23" s="6">
        <f t="shared" si="0"/>
        <v>5561705.1934486004</v>
      </c>
      <c r="P23" s="6">
        <f t="shared" si="0"/>
        <v>5561705.1934486004</v>
      </c>
      <c r="Q23" s="6">
        <f t="shared" si="0"/>
        <v>5561705.1934486004</v>
      </c>
      <c r="R23" s="6">
        <f t="shared" si="0"/>
        <v>5561705.1934486004</v>
      </c>
      <c r="S23" s="6">
        <f t="shared" si="0"/>
        <v>5561705.1934486004</v>
      </c>
      <c r="T23" s="6">
        <f t="shared" si="0"/>
        <v>5561705.1934486004</v>
      </c>
      <c r="U23" s="6">
        <f t="shared" si="0"/>
        <v>5561705.1934486004</v>
      </c>
      <c r="V23" s="6">
        <f t="shared" si="0"/>
        <v>5561705.1934486004</v>
      </c>
      <c r="W23" s="9">
        <f>SUM(B23:V23)</f>
        <v>111234103.86897203</v>
      </c>
    </row>
    <row r="24" spans="1:23" s="4" customFormat="1" x14ac:dyDescent="0.25">
      <c r="A24" s="5" t="s">
        <v>28</v>
      </c>
      <c r="B24" s="6">
        <f>B13</f>
        <v>27167510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27167510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66</v>
      </c>
      <c r="B26" s="10">
        <f>B13</f>
        <v>27167510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50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52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59</v>
      </c>
      <c r="B29" s="44">
        <f>-B13</f>
        <v>-27167510</v>
      </c>
      <c r="C29" s="32">
        <f>C23*0.8</f>
        <v>4449364.1547588808</v>
      </c>
      <c r="D29" s="32">
        <f t="shared" ref="D29:G29" si="3">D23*0.8</f>
        <v>4449364.1547588808</v>
      </c>
      <c r="E29" s="32">
        <f t="shared" si="3"/>
        <v>4449364.1547588808</v>
      </c>
      <c r="F29" s="32">
        <f t="shared" si="3"/>
        <v>4449364.1547588808</v>
      </c>
      <c r="G29" s="32">
        <f t="shared" si="3"/>
        <v>4449364.1547588808</v>
      </c>
      <c r="H29" s="32">
        <f>(H23*0.8*11/12)+(H23*0.5*1/12)</f>
        <v>4310321.5249226661</v>
      </c>
      <c r="I29" s="32">
        <f>I23*0.5</f>
        <v>2780852.5967243002</v>
      </c>
      <c r="J29" s="32">
        <f t="shared" ref="J29:V29" si="4">J23*0.5</f>
        <v>2780852.5967243002</v>
      </c>
      <c r="K29" s="32">
        <f t="shared" si="4"/>
        <v>2780852.5967243002</v>
      </c>
      <c r="L29" s="32">
        <f t="shared" si="4"/>
        <v>2780852.5967243002</v>
      </c>
      <c r="M29" s="32">
        <f t="shared" si="4"/>
        <v>2780852.5967243002</v>
      </c>
      <c r="N29" s="32">
        <f t="shared" si="4"/>
        <v>2780852.5967243002</v>
      </c>
      <c r="O29" s="32">
        <f t="shared" si="4"/>
        <v>2780852.5967243002</v>
      </c>
      <c r="P29" s="32">
        <f t="shared" si="4"/>
        <v>2780852.5967243002</v>
      </c>
      <c r="Q29" s="32">
        <f t="shared" si="4"/>
        <v>2780852.5967243002</v>
      </c>
      <c r="R29" s="32">
        <f t="shared" si="4"/>
        <v>2780852.5967243002</v>
      </c>
      <c r="S29" s="32">
        <f t="shared" si="4"/>
        <v>2780852.5967243002</v>
      </c>
      <c r="T29" s="32">
        <f t="shared" si="4"/>
        <v>2780852.5967243002</v>
      </c>
      <c r="U29" s="32">
        <f t="shared" si="4"/>
        <v>2780852.5967243002</v>
      </c>
      <c r="V29" s="32">
        <f t="shared" si="4"/>
        <v>2780852.5967243002</v>
      </c>
      <c r="W29" s="33">
        <f>SUM(B29:V29)</f>
        <v>38321568.652857281</v>
      </c>
    </row>
    <row r="30" spans="1:23" s="5" customFormat="1" x14ac:dyDescent="0.25">
      <c r="A30" s="5" t="s">
        <v>44</v>
      </c>
      <c r="B30" s="10">
        <v>0</v>
      </c>
      <c r="C30" s="8">
        <v>0</v>
      </c>
      <c r="D30" s="8">
        <v>0</v>
      </c>
      <c r="E30" s="42">
        <f>B24*1/100</f>
        <v>271675.09999999998</v>
      </c>
      <c r="F30" s="42">
        <f>E30*1.05</f>
        <v>285258.85499999998</v>
      </c>
      <c r="G30" s="42">
        <f t="shared" ref="G30:V30" si="5">F30*1.05</f>
        <v>299521.79774999997</v>
      </c>
      <c r="H30" s="42">
        <f t="shared" si="5"/>
        <v>314497.88763749995</v>
      </c>
      <c r="I30" s="42">
        <f t="shared" si="5"/>
        <v>330222.78201937495</v>
      </c>
      <c r="J30" s="42">
        <f t="shared" si="5"/>
        <v>346733.92112034373</v>
      </c>
      <c r="K30" s="42">
        <f t="shared" si="5"/>
        <v>364070.61717636092</v>
      </c>
      <c r="L30" s="42">
        <f t="shared" si="5"/>
        <v>382274.14803517895</v>
      </c>
      <c r="M30" s="42">
        <f t="shared" si="5"/>
        <v>401387.85543693794</v>
      </c>
      <c r="N30" s="42">
        <f t="shared" si="5"/>
        <v>421457.24820878485</v>
      </c>
      <c r="O30" s="42">
        <f t="shared" si="5"/>
        <v>442530.11061922408</v>
      </c>
      <c r="P30" s="42">
        <f t="shared" si="5"/>
        <v>464656.61615018529</v>
      </c>
      <c r="Q30" s="42">
        <f t="shared" si="5"/>
        <v>487889.4469576946</v>
      </c>
      <c r="R30" s="42">
        <f t="shared" si="5"/>
        <v>512283.91930557933</v>
      </c>
      <c r="S30" s="42">
        <f t="shared" si="5"/>
        <v>537898.11527085828</v>
      </c>
      <c r="T30" s="42">
        <f t="shared" si="5"/>
        <v>564793.02103440126</v>
      </c>
      <c r="U30" s="42">
        <f t="shared" si="5"/>
        <v>593032.6720861214</v>
      </c>
      <c r="V30" s="42">
        <f t="shared" si="5"/>
        <v>622684.30569042754</v>
      </c>
      <c r="W30" s="9">
        <f>SUM(C30:V30)</f>
        <v>7642868.4194989735</v>
      </c>
    </row>
    <row r="31" spans="1:23" s="28" customFormat="1" x14ac:dyDescent="0.25">
      <c r="A31" s="28" t="s">
        <v>33</v>
      </c>
      <c r="B31" s="29"/>
      <c r="C31" s="29">
        <f>(C23-C28-C29)*0.2</f>
        <v>222468.20773794391</v>
      </c>
      <c r="D31" s="29">
        <f t="shared" ref="D31:V31" si="6">(D23-D28-D29)*0.2</f>
        <v>222468.20773794391</v>
      </c>
      <c r="E31" s="29">
        <f t="shared" si="6"/>
        <v>222468.20773794391</v>
      </c>
      <c r="F31" s="29">
        <f t="shared" si="6"/>
        <v>222468.20773794391</v>
      </c>
      <c r="G31" s="29">
        <f t="shared" si="6"/>
        <v>222468.20773794391</v>
      </c>
      <c r="H31" s="29">
        <f t="shared" si="6"/>
        <v>250276.73370518687</v>
      </c>
      <c r="I31" s="29">
        <f t="shared" si="6"/>
        <v>556170.51934486011</v>
      </c>
      <c r="J31" s="29">
        <f t="shared" si="6"/>
        <v>556170.51934486011</v>
      </c>
      <c r="K31" s="29">
        <f t="shared" si="6"/>
        <v>556170.51934486011</v>
      </c>
      <c r="L31" s="29">
        <f t="shared" si="6"/>
        <v>556170.51934486011</v>
      </c>
      <c r="M31" s="29">
        <f t="shared" si="6"/>
        <v>556170.51934486011</v>
      </c>
      <c r="N31" s="29">
        <f t="shared" si="6"/>
        <v>556170.51934486011</v>
      </c>
      <c r="O31" s="29">
        <f t="shared" si="6"/>
        <v>556170.51934486011</v>
      </c>
      <c r="P31" s="29">
        <f t="shared" si="6"/>
        <v>556170.51934486011</v>
      </c>
      <c r="Q31" s="29">
        <f t="shared" si="6"/>
        <v>556170.51934486011</v>
      </c>
      <c r="R31" s="29">
        <f t="shared" si="6"/>
        <v>556170.51934486011</v>
      </c>
      <c r="S31" s="29">
        <f t="shared" si="6"/>
        <v>556170.51934486011</v>
      </c>
      <c r="T31" s="29">
        <f t="shared" si="6"/>
        <v>556170.51934486011</v>
      </c>
      <c r="U31" s="29">
        <f t="shared" si="6"/>
        <v>556170.51934486011</v>
      </c>
      <c r="V31" s="29">
        <f t="shared" si="6"/>
        <v>556170.51934486011</v>
      </c>
      <c r="W31" s="9">
        <f>SUM(C31:V31)</f>
        <v>9149005.043222947</v>
      </c>
    </row>
    <row r="32" spans="1:23" s="5" customFormat="1" x14ac:dyDescent="0.25">
      <c r="A32" s="25" t="s">
        <v>35</v>
      </c>
      <c r="B32" s="43">
        <f>-B27</f>
        <v>0</v>
      </c>
      <c r="C32" s="26">
        <f>C23-C28-C29-C30-C31</f>
        <v>889872.83095177566</v>
      </c>
      <c r="D32" s="26">
        <f t="shared" ref="D32:E32" si="7">D23-D28-D29-D30-D31</f>
        <v>889872.83095177566</v>
      </c>
      <c r="E32" s="26">
        <f t="shared" si="7"/>
        <v>618197.73095177556</v>
      </c>
      <c r="F32" s="26">
        <f>F23-F28-F29-F30-F31</f>
        <v>604613.97595177568</v>
      </c>
      <c r="G32" s="26">
        <f t="shared" ref="G32:O32" si="8">G23-G28-G29-G30-G31</f>
        <v>590351.03320177575</v>
      </c>
      <c r="H32" s="26">
        <f t="shared" si="8"/>
        <v>686609.0471832474</v>
      </c>
      <c r="I32" s="26">
        <f t="shared" si="8"/>
        <v>1894459.2953600651</v>
      </c>
      <c r="J32" s="26">
        <f t="shared" si="8"/>
        <v>1877948.1562590962</v>
      </c>
      <c r="K32" s="26">
        <f t="shared" si="8"/>
        <v>1860611.460203079</v>
      </c>
      <c r="L32" s="26">
        <f t="shared" si="8"/>
        <v>1842407.9293442611</v>
      </c>
      <c r="M32" s="26">
        <f t="shared" si="8"/>
        <v>1823294.2219425021</v>
      </c>
      <c r="N32" s="26">
        <f t="shared" si="8"/>
        <v>1803224.829170655</v>
      </c>
      <c r="O32" s="26">
        <f t="shared" si="8"/>
        <v>1782151.9667602158</v>
      </c>
      <c r="P32" s="26">
        <f>P23-P28-P29-P30-P31</f>
        <v>1760025.4612292545</v>
      </c>
      <c r="Q32" s="26">
        <f t="shared" ref="Q32:V32" si="9">Q23-Q28-Q29-Q30-Q31</f>
        <v>1736792.6304217451</v>
      </c>
      <c r="R32" s="26">
        <f t="shared" si="9"/>
        <v>1712398.1580738607</v>
      </c>
      <c r="S32" s="26">
        <f t="shared" si="9"/>
        <v>1686783.9621085818</v>
      </c>
      <c r="T32" s="26">
        <f t="shared" si="9"/>
        <v>1659889.0563450386</v>
      </c>
      <c r="U32" s="26">
        <f t="shared" si="9"/>
        <v>1631649.4052933184</v>
      </c>
      <c r="V32" s="26">
        <f t="shared" si="9"/>
        <v>1601997.7716890122</v>
      </c>
      <c r="W32" s="9">
        <f>SUM(C32:V32)</f>
        <v>28953151.753392812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34"/>
  <sheetViews>
    <sheetView topLeftCell="B25" zoomScale="99" zoomScaleNormal="99" workbookViewId="0">
      <selection activeCell="D31" sqref="D31:V31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36</v>
      </c>
      <c r="D3" s="1"/>
    </row>
    <row r="4" spans="1:22" x14ac:dyDescent="0.25">
      <c r="A4" s="1" t="s">
        <v>38</v>
      </c>
      <c r="B4" s="2">
        <f>149.04*5</f>
        <v>745.19999999999993</v>
      </c>
      <c r="C4" s="1" t="s">
        <v>76</v>
      </c>
      <c r="D4" s="1"/>
    </row>
    <row r="5" spans="1:22" x14ac:dyDescent="0.25">
      <c r="A5" s="23" t="s">
        <v>39</v>
      </c>
      <c r="B5" s="2"/>
      <c r="C5" s="1"/>
      <c r="D5" s="1"/>
    </row>
    <row r="6" spans="1:22" x14ac:dyDescent="0.25">
      <c r="A6" s="24" t="s">
        <v>40</v>
      </c>
      <c r="B6" s="2"/>
      <c r="C6" s="1"/>
      <c r="D6" s="1"/>
    </row>
    <row r="7" spans="1:22" x14ac:dyDescent="0.25">
      <c r="A7" s="3" t="s">
        <v>42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32</v>
      </c>
    </row>
    <row r="8" spans="1:22" x14ac:dyDescent="0.25">
      <c r="A8" s="24" t="s">
        <v>41</v>
      </c>
      <c r="B8" s="3"/>
      <c r="C8" s="1"/>
      <c r="D8" s="1"/>
    </row>
    <row r="9" spans="1:22" x14ac:dyDescent="0.25">
      <c r="A9" s="3" t="s">
        <v>42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32</v>
      </c>
    </row>
    <row r="10" spans="1:22" ht="22.15" customHeight="1" x14ac:dyDescent="0.25">
      <c r="A10" s="35" t="s">
        <v>56</v>
      </c>
      <c r="B10" s="3">
        <v>130000000</v>
      </c>
      <c r="C10" s="1" t="s">
        <v>32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75</v>
      </c>
      <c r="B13" s="3">
        <v>3087232</v>
      </c>
      <c r="C13" s="1" t="s">
        <v>32</v>
      </c>
      <c r="D13" s="1"/>
      <c r="F13" s="36"/>
    </row>
    <row r="14" spans="1:22" ht="26.45" customHeight="1" x14ac:dyDescent="0.25">
      <c r="A14" s="1" t="s">
        <v>57</v>
      </c>
      <c r="B14" s="3">
        <v>20000000</v>
      </c>
      <c r="C14" s="1" t="s">
        <v>32</v>
      </c>
      <c r="D14" s="1"/>
      <c r="F14" s="36"/>
    </row>
    <row r="15" spans="1:22" ht="22.9" customHeight="1" x14ac:dyDescent="0.25">
      <c r="A15" s="1" t="s">
        <v>54</v>
      </c>
      <c r="B15" s="3">
        <v>300000</v>
      </c>
      <c r="C15" s="1" t="s">
        <v>43</v>
      </c>
      <c r="D15" s="1"/>
      <c r="F15" s="36"/>
    </row>
    <row r="16" spans="1:22" ht="21" customHeight="1" x14ac:dyDescent="0.25">
      <c r="A16" s="1" t="s">
        <v>46</v>
      </c>
      <c r="B16" s="41">
        <v>0.01</v>
      </c>
      <c r="C16" s="1" t="s">
        <v>45</v>
      </c>
      <c r="D16" s="1"/>
      <c r="F16" s="36"/>
    </row>
    <row r="17" spans="1:23" x14ac:dyDescent="0.25">
      <c r="A17" s="3" t="s">
        <v>47</v>
      </c>
      <c r="B17" s="41">
        <v>0.3</v>
      </c>
      <c r="C17" s="1" t="s">
        <v>48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51</v>
      </c>
      <c r="B23" s="6">
        <v>0</v>
      </c>
      <c r="C23" s="6">
        <f>((($B$4*$B$7*$F$7)-((($B$4*$B$7*$F$7)*10%))+((($B$4*$B$9)*$F$9)+((($B$4*$B$7)*$F$9)*10%))))</f>
        <v>829082.35850327997</v>
      </c>
      <c r="D23" s="6">
        <f t="shared" ref="D23:V23" si="0">((($B$4*$B$7*$F$7)-((($B$4*$B$7*$F$7)*10%))+((($B$4*$B$9)*$F$9)+((($B$4*$B$7)*$F$9)*10%))))</f>
        <v>829082.35850327997</v>
      </c>
      <c r="E23" s="6">
        <f t="shared" si="0"/>
        <v>829082.35850327997</v>
      </c>
      <c r="F23" s="6">
        <f t="shared" si="0"/>
        <v>829082.35850327997</v>
      </c>
      <c r="G23" s="6">
        <f t="shared" si="0"/>
        <v>829082.35850327997</v>
      </c>
      <c r="H23" s="6">
        <f t="shared" si="0"/>
        <v>829082.35850327997</v>
      </c>
      <c r="I23" s="6">
        <f t="shared" si="0"/>
        <v>829082.35850327997</v>
      </c>
      <c r="J23" s="6">
        <f t="shared" si="0"/>
        <v>829082.35850327997</v>
      </c>
      <c r="K23" s="6">
        <f t="shared" si="0"/>
        <v>829082.35850327997</v>
      </c>
      <c r="L23" s="6">
        <f t="shared" si="0"/>
        <v>829082.35850327997</v>
      </c>
      <c r="M23" s="6">
        <f t="shared" si="0"/>
        <v>829082.35850327997</v>
      </c>
      <c r="N23" s="6">
        <f t="shared" si="0"/>
        <v>829082.35850327997</v>
      </c>
      <c r="O23" s="6">
        <f t="shared" si="0"/>
        <v>829082.35850327997</v>
      </c>
      <c r="P23" s="6">
        <f t="shared" si="0"/>
        <v>829082.35850327997</v>
      </c>
      <c r="Q23" s="6">
        <f t="shared" si="0"/>
        <v>829082.35850327997</v>
      </c>
      <c r="R23" s="6">
        <f t="shared" si="0"/>
        <v>829082.35850327997</v>
      </c>
      <c r="S23" s="6">
        <f t="shared" si="0"/>
        <v>829082.35850327997</v>
      </c>
      <c r="T23" s="6">
        <f t="shared" si="0"/>
        <v>829082.35850327997</v>
      </c>
      <c r="U23" s="6">
        <f t="shared" si="0"/>
        <v>829082.35850327997</v>
      </c>
      <c r="V23" s="6">
        <f t="shared" si="0"/>
        <v>829082.35850327997</v>
      </c>
      <c r="W23" s="9">
        <f>SUM(B23:V23)</f>
        <v>16581647.170065602</v>
      </c>
    </row>
    <row r="24" spans="1:23" s="4" customFormat="1" x14ac:dyDescent="0.25">
      <c r="A24" s="5" t="s">
        <v>28</v>
      </c>
      <c r="B24" s="6">
        <f>B13</f>
        <v>3087232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3087232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66</v>
      </c>
      <c r="B26" s="10">
        <f>B13</f>
        <v>3087232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50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52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59</v>
      </c>
      <c r="B29" s="44">
        <f>-B13</f>
        <v>-3087232</v>
      </c>
      <c r="C29" s="32">
        <f>C23*0.8</f>
        <v>663265.88680262398</v>
      </c>
      <c r="D29" s="32">
        <f t="shared" ref="D29:G29" si="3">D23*0.8</f>
        <v>663265.88680262398</v>
      </c>
      <c r="E29" s="32">
        <f t="shared" si="3"/>
        <v>663265.88680262398</v>
      </c>
      <c r="F29" s="32">
        <f t="shared" si="3"/>
        <v>663265.88680262398</v>
      </c>
      <c r="G29" s="32">
        <f t="shared" si="3"/>
        <v>663265.88680262398</v>
      </c>
      <c r="H29" s="32">
        <f>(H23*0.8*11/12)+(H23*0.5*1/12)</f>
        <v>642538.82784004207</v>
      </c>
      <c r="I29" s="32">
        <f>I23*0.5</f>
        <v>414541.17925163999</v>
      </c>
      <c r="J29" s="32">
        <f t="shared" ref="J29:V29" si="4">J23*0.5</f>
        <v>414541.17925163999</v>
      </c>
      <c r="K29" s="32">
        <f t="shared" si="4"/>
        <v>414541.17925163999</v>
      </c>
      <c r="L29" s="32">
        <f t="shared" si="4"/>
        <v>414541.17925163999</v>
      </c>
      <c r="M29" s="32">
        <f t="shared" si="4"/>
        <v>414541.17925163999</v>
      </c>
      <c r="N29" s="32">
        <f t="shared" si="4"/>
        <v>414541.17925163999</v>
      </c>
      <c r="O29" s="32">
        <f t="shared" si="4"/>
        <v>414541.17925163999</v>
      </c>
      <c r="P29" s="32">
        <f t="shared" si="4"/>
        <v>414541.17925163999</v>
      </c>
      <c r="Q29" s="32">
        <f t="shared" si="4"/>
        <v>414541.17925163999</v>
      </c>
      <c r="R29" s="32">
        <f t="shared" si="4"/>
        <v>414541.17925163999</v>
      </c>
      <c r="S29" s="32">
        <f t="shared" si="4"/>
        <v>414541.17925163999</v>
      </c>
      <c r="T29" s="32">
        <f t="shared" si="4"/>
        <v>414541.17925163999</v>
      </c>
      <c r="U29" s="32">
        <f t="shared" si="4"/>
        <v>414541.17925163999</v>
      </c>
      <c r="V29" s="32">
        <f t="shared" si="4"/>
        <v>414541.17925163999</v>
      </c>
      <c r="W29" s="33">
        <f>SUM(B29:V29)</f>
        <v>6675212.7713761227</v>
      </c>
    </row>
    <row r="30" spans="1:23" s="5" customFormat="1" x14ac:dyDescent="0.25">
      <c r="A30" s="5" t="s">
        <v>44</v>
      </c>
      <c r="B30" s="10">
        <v>0</v>
      </c>
      <c r="C30" s="8">
        <v>0</v>
      </c>
      <c r="D30" s="8">
        <v>0</v>
      </c>
      <c r="E30" s="42">
        <f>B24*1/100</f>
        <v>30872.32</v>
      </c>
      <c r="F30" s="42">
        <f>E30*1.05</f>
        <v>32415.936000000002</v>
      </c>
      <c r="G30" s="42">
        <f t="shared" ref="G30:V30" si="5">F30*1.05</f>
        <v>34036.732800000005</v>
      </c>
      <c r="H30" s="42">
        <f t="shared" si="5"/>
        <v>35738.569440000007</v>
      </c>
      <c r="I30" s="42">
        <f t="shared" si="5"/>
        <v>37525.497912000006</v>
      </c>
      <c r="J30" s="42">
        <f t="shared" si="5"/>
        <v>39401.772807600006</v>
      </c>
      <c r="K30" s="42">
        <f t="shared" si="5"/>
        <v>41371.861447980009</v>
      </c>
      <c r="L30" s="42">
        <f t="shared" si="5"/>
        <v>43440.454520379011</v>
      </c>
      <c r="M30" s="42">
        <f t="shared" si="5"/>
        <v>45612.477246397961</v>
      </c>
      <c r="N30" s="42">
        <f t="shared" si="5"/>
        <v>47893.101108717863</v>
      </c>
      <c r="O30" s="42">
        <f t="shared" si="5"/>
        <v>50287.756164153761</v>
      </c>
      <c r="P30" s="42">
        <f t="shared" si="5"/>
        <v>52802.143972361453</v>
      </c>
      <c r="Q30" s="42">
        <f t="shared" si="5"/>
        <v>55442.251170979529</v>
      </c>
      <c r="R30" s="42">
        <f t="shared" si="5"/>
        <v>58214.363729528508</v>
      </c>
      <c r="S30" s="42">
        <f t="shared" si="5"/>
        <v>61125.081916004936</v>
      </c>
      <c r="T30" s="42">
        <f t="shared" si="5"/>
        <v>64181.336011805186</v>
      </c>
      <c r="U30" s="42">
        <f t="shared" si="5"/>
        <v>67390.402812395449</v>
      </c>
      <c r="V30" s="42">
        <f t="shared" si="5"/>
        <v>70759.922953015222</v>
      </c>
      <c r="W30" s="9">
        <f>SUM(C30:V30)</f>
        <v>868511.98201331892</v>
      </c>
    </row>
    <row r="31" spans="1:23" s="28" customFormat="1" x14ac:dyDescent="0.25">
      <c r="A31" s="28" t="s">
        <v>33</v>
      </c>
      <c r="B31" s="29"/>
      <c r="C31" s="29">
        <f>(C23-C28-C29)*0.2</f>
        <v>33163.2943401312</v>
      </c>
      <c r="D31" s="29">
        <f t="shared" ref="D31:V31" si="6">(D23-D28-D29)*0.2</f>
        <v>33163.2943401312</v>
      </c>
      <c r="E31" s="29">
        <f t="shared" si="6"/>
        <v>33163.2943401312</v>
      </c>
      <c r="F31" s="29">
        <f t="shared" si="6"/>
        <v>33163.2943401312</v>
      </c>
      <c r="G31" s="29">
        <f t="shared" si="6"/>
        <v>33163.2943401312</v>
      </c>
      <c r="H31" s="29">
        <f t="shared" si="6"/>
        <v>37308.706132647581</v>
      </c>
      <c r="I31" s="29">
        <f t="shared" si="6"/>
        <v>82908.235850327997</v>
      </c>
      <c r="J31" s="29">
        <f t="shared" si="6"/>
        <v>82908.235850327997</v>
      </c>
      <c r="K31" s="29">
        <f t="shared" si="6"/>
        <v>82908.235850327997</v>
      </c>
      <c r="L31" s="29">
        <f t="shared" si="6"/>
        <v>82908.235850327997</v>
      </c>
      <c r="M31" s="29">
        <f t="shared" si="6"/>
        <v>82908.235850327997</v>
      </c>
      <c r="N31" s="29">
        <f t="shared" si="6"/>
        <v>82908.235850327997</v>
      </c>
      <c r="O31" s="29">
        <f t="shared" si="6"/>
        <v>82908.235850327997</v>
      </c>
      <c r="P31" s="29">
        <f t="shared" si="6"/>
        <v>82908.235850327997</v>
      </c>
      <c r="Q31" s="29">
        <f t="shared" si="6"/>
        <v>82908.235850327997</v>
      </c>
      <c r="R31" s="29">
        <f t="shared" si="6"/>
        <v>82908.235850327997</v>
      </c>
      <c r="S31" s="29">
        <f t="shared" si="6"/>
        <v>82908.235850327997</v>
      </c>
      <c r="T31" s="29">
        <f t="shared" si="6"/>
        <v>82908.235850327997</v>
      </c>
      <c r="U31" s="29">
        <f t="shared" si="6"/>
        <v>82908.235850327997</v>
      </c>
      <c r="V31" s="29">
        <f t="shared" si="6"/>
        <v>82908.235850327997</v>
      </c>
      <c r="W31" s="9">
        <f>SUM(C31:V31)</f>
        <v>1363840.479737896</v>
      </c>
    </row>
    <row r="32" spans="1:23" s="5" customFormat="1" x14ac:dyDescent="0.25">
      <c r="A32" s="25" t="s">
        <v>35</v>
      </c>
      <c r="B32" s="43">
        <f>-B27</f>
        <v>0</v>
      </c>
      <c r="C32" s="26">
        <f>C23-C28-C29-C30-C31</f>
        <v>132653.1773605248</v>
      </c>
      <c r="D32" s="26">
        <f t="shared" ref="D32:E32" si="7">D23-D28-D29-D30-D31</f>
        <v>132653.1773605248</v>
      </c>
      <c r="E32" s="26">
        <f t="shared" si="7"/>
        <v>101780.85736052479</v>
      </c>
      <c r="F32" s="26">
        <f>F23-F28-F29-F30-F31</f>
        <v>100237.24136052481</v>
      </c>
      <c r="G32" s="26">
        <f t="shared" ref="G32:O32" si="8">G23-G28-G29-G30-G31</f>
        <v>98616.444560524804</v>
      </c>
      <c r="H32" s="26">
        <f t="shared" si="8"/>
        <v>113496.25509059033</v>
      </c>
      <c r="I32" s="26">
        <f t="shared" si="8"/>
        <v>294107.445489312</v>
      </c>
      <c r="J32" s="26">
        <f t="shared" si="8"/>
        <v>292231.17059371201</v>
      </c>
      <c r="K32" s="26">
        <f t="shared" si="8"/>
        <v>290261.081953332</v>
      </c>
      <c r="L32" s="26">
        <f t="shared" si="8"/>
        <v>288192.48888093297</v>
      </c>
      <c r="M32" s="26">
        <f t="shared" si="8"/>
        <v>286020.466154914</v>
      </c>
      <c r="N32" s="26">
        <f t="shared" si="8"/>
        <v>283739.84229259414</v>
      </c>
      <c r="O32" s="26">
        <f t="shared" si="8"/>
        <v>281345.18723715824</v>
      </c>
      <c r="P32" s="26">
        <f>P23-P28-P29-P30-P31</f>
        <v>278830.79942895053</v>
      </c>
      <c r="Q32" s="26">
        <f t="shared" ref="Q32:V32" si="9">Q23-Q28-Q29-Q30-Q31</f>
        <v>276190.69223033247</v>
      </c>
      <c r="R32" s="26">
        <f t="shared" si="9"/>
        <v>273418.57967178349</v>
      </c>
      <c r="S32" s="26">
        <f t="shared" si="9"/>
        <v>270507.86148530705</v>
      </c>
      <c r="T32" s="26">
        <f t="shared" si="9"/>
        <v>267451.60738950683</v>
      </c>
      <c r="U32" s="26">
        <f t="shared" si="9"/>
        <v>264242.54058891651</v>
      </c>
      <c r="V32" s="26">
        <f t="shared" si="9"/>
        <v>260873.0204482968</v>
      </c>
      <c r="W32" s="9">
        <f>SUM(C32:V32)</f>
        <v>4586849.9369382635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34"/>
  <sheetViews>
    <sheetView topLeftCell="A22" zoomScale="99" zoomScaleNormal="99" workbookViewId="0">
      <selection activeCell="A31" sqref="A31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36</v>
      </c>
      <c r="D3" s="1"/>
    </row>
    <row r="4" spans="1:22" x14ac:dyDescent="0.25">
      <c r="A4" s="1" t="s">
        <v>38</v>
      </c>
      <c r="B4" s="2">
        <f>536.06*5</f>
        <v>2680.2999999999997</v>
      </c>
      <c r="C4" s="1" t="s">
        <v>77</v>
      </c>
      <c r="D4" s="1"/>
    </row>
    <row r="5" spans="1:22" x14ac:dyDescent="0.25">
      <c r="A5" s="23" t="s">
        <v>39</v>
      </c>
      <c r="B5" s="2"/>
      <c r="C5" s="1"/>
      <c r="D5" s="1"/>
    </row>
    <row r="6" spans="1:22" x14ac:dyDescent="0.25">
      <c r="A6" s="24" t="s">
        <v>40</v>
      </c>
      <c r="B6" s="2"/>
      <c r="C6" s="1"/>
      <c r="D6" s="1"/>
    </row>
    <row r="7" spans="1:22" x14ac:dyDescent="0.25">
      <c r="A7" s="3" t="s">
        <v>42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32</v>
      </c>
    </row>
    <row r="8" spans="1:22" x14ac:dyDescent="0.25">
      <c r="A8" s="24" t="s">
        <v>41</v>
      </c>
      <c r="B8" s="3"/>
      <c r="C8" s="1"/>
      <c r="D8" s="1"/>
    </row>
    <row r="9" spans="1:22" x14ac:dyDescent="0.25">
      <c r="A9" s="3" t="s">
        <v>42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32</v>
      </c>
    </row>
    <row r="10" spans="1:22" ht="22.15" customHeight="1" x14ac:dyDescent="0.25">
      <c r="A10" s="35" t="s">
        <v>56</v>
      </c>
      <c r="B10" s="3">
        <v>130000000</v>
      </c>
      <c r="C10" s="1" t="s">
        <v>32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75</v>
      </c>
      <c r="B13" s="3">
        <v>14259678</v>
      </c>
      <c r="C13" s="1" t="s">
        <v>32</v>
      </c>
      <c r="D13" s="1"/>
      <c r="F13" s="36"/>
    </row>
    <row r="14" spans="1:22" ht="26.45" customHeight="1" x14ac:dyDescent="0.25">
      <c r="A14" s="1" t="s">
        <v>57</v>
      </c>
      <c r="B14" s="3">
        <v>20000000</v>
      </c>
      <c r="C14" s="1" t="s">
        <v>32</v>
      </c>
      <c r="D14" s="1"/>
      <c r="F14" s="36"/>
    </row>
    <row r="15" spans="1:22" ht="22.9" customHeight="1" x14ac:dyDescent="0.25">
      <c r="A15" s="1" t="s">
        <v>54</v>
      </c>
      <c r="B15" s="3">
        <v>300000</v>
      </c>
      <c r="C15" s="1" t="s">
        <v>43</v>
      </c>
      <c r="D15" s="1"/>
      <c r="F15" s="36"/>
    </row>
    <row r="16" spans="1:22" ht="21" customHeight="1" x14ac:dyDescent="0.25">
      <c r="A16" s="1" t="s">
        <v>46</v>
      </c>
      <c r="B16" s="41">
        <v>0.01</v>
      </c>
      <c r="C16" s="1" t="s">
        <v>45</v>
      </c>
      <c r="D16" s="1"/>
      <c r="F16" s="36"/>
    </row>
    <row r="17" spans="1:23" x14ac:dyDescent="0.25">
      <c r="A17" s="3" t="s">
        <v>47</v>
      </c>
      <c r="B17" s="41">
        <v>0.3</v>
      </c>
      <c r="C17" s="1" t="s">
        <v>48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51</v>
      </c>
      <c r="B23" s="6">
        <v>0</v>
      </c>
      <c r="C23" s="6">
        <f>((($B$4*$B$7*$F$7)-((($B$4*$B$7*$F$7)*10%))+((($B$4*$B$9)*$F$9)+((($B$4*$B$7)*$F$9)*10%))))</f>
        <v>2982004.0868174196</v>
      </c>
      <c r="D23" s="6">
        <f t="shared" ref="D23:V23" si="0">((($B$4*$B$7*$F$7)-((($B$4*$B$7*$F$7)*10%))+((($B$4*$B$9)*$F$9)+((($B$4*$B$7)*$F$9)*10%))))</f>
        <v>2982004.0868174196</v>
      </c>
      <c r="E23" s="6">
        <f t="shared" si="0"/>
        <v>2982004.0868174196</v>
      </c>
      <c r="F23" s="6">
        <f t="shared" si="0"/>
        <v>2982004.0868174196</v>
      </c>
      <c r="G23" s="6">
        <f t="shared" si="0"/>
        <v>2982004.0868174196</v>
      </c>
      <c r="H23" s="6">
        <f t="shared" si="0"/>
        <v>2982004.0868174196</v>
      </c>
      <c r="I23" s="6">
        <f t="shared" si="0"/>
        <v>2982004.0868174196</v>
      </c>
      <c r="J23" s="6">
        <f t="shared" si="0"/>
        <v>2982004.0868174196</v>
      </c>
      <c r="K23" s="6">
        <f t="shared" si="0"/>
        <v>2982004.0868174196</v>
      </c>
      <c r="L23" s="6">
        <f t="shared" si="0"/>
        <v>2982004.0868174196</v>
      </c>
      <c r="M23" s="6">
        <f t="shared" si="0"/>
        <v>2982004.0868174196</v>
      </c>
      <c r="N23" s="6">
        <f t="shared" si="0"/>
        <v>2982004.0868174196</v>
      </c>
      <c r="O23" s="6">
        <f t="shared" si="0"/>
        <v>2982004.0868174196</v>
      </c>
      <c r="P23" s="6">
        <f t="shared" si="0"/>
        <v>2982004.0868174196</v>
      </c>
      <c r="Q23" s="6">
        <f t="shared" si="0"/>
        <v>2982004.0868174196</v>
      </c>
      <c r="R23" s="6">
        <f t="shared" si="0"/>
        <v>2982004.0868174196</v>
      </c>
      <c r="S23" s="6">
        <f t="shared" si="0"/>
        <v>2982004.0868174196</v>
      </c>
      <c r="T23" s="6">
        <f t="shared" si="0"/>
        <v>2982004.0868174196</v>
      </c>
      <c r="U23" s="6">
        <f t="shared" si="0"/>
        <v>2982004.0868174196</v>
      </c>
      <c r="V23" s="6">
        <f t="shared" si="0"/>
        <v>2982004.0868174196</v>
      </c>
      <c r="W23" s="9">
        <f>SUM(B23:V23)</f>
        <v>59640081.736348413</v>
      </c>
    </row>
    <row r="24" spans="1:23" s="4" customFormat="1" x14ac:dyDescent="0.25">
      <c r="A24" s="5" t="s">
        <v>28</v>
      </c>
      <c r="B24" s="6">
        <f>B13</f>
        <v>14259678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14259678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66</v>
      </c>
      <c r="B26" s="10">
        <f>B13</f>
        <v>14259678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50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52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59</v>
      </c>
      <c r="B29" s="44">
        <f>-B13</f>
        <v>-14259678</v>
      </c>
      <c r="C29" s="32">
        <f>C23*0.8</f>
        <v>2385603.2694539358</v>
      </c>
      <c r="D29" s="32">
        <f t="shared" ref="D29:G29" si="3">D23*0.8</f>
        <v>2385603.2694539358</v>
      </c>
      <c r="E29" s="32">
        <f t="shared" si="3"/>
        <v>2385603.2694539358</v>
      </c>
      <c r="F29" s="32">
        <f t="shared" si="3"/>
        <v>2385603.2694539358</v>
      </c>
      <c r="G29" s="32">
        <f t="shared" si="3"/>
        <v>2385603.2694539358</v>
      </c>
      <c r="H29" s="32">
        <f>(H23*0.8*11/12)+(H23*0.5*1/12)</f>
        <v>2311053.1672835005</v>
      </c>
      <c r="I29" s="32">
        <f>I23*0.5</f>
        <v>1491002.0434087098</v>
      </c>
      <c r="J29" s="32">
        <f t="shared" ref="J29:V29" si="4">J23*0.5</f>
        <v>1491002.0434087098</v>
      </c>
      <c r="K29" s="32">
        <f t="shared" si="4"/>
        <v>1491002.0434087098</v>
      </c>
      <c r="L29" s="32">
        <f t="shared" si="4"/>
        <v>1491002.0434087098</v>
      </c>
      <c r="M29" s="32">
        <f t="shared" si="4"/>
        <v>1491002.0434087098</v>
      </c>
      <c r="N29" s="32">
        <f t="shared" si="4"/>
        <v>1491002.0434087098</v>
      </c>
      <c r="O29" s="32">
        <f t="shared" si="4"/>
        <v>1491002.0434087098</v>
      </c>
      <c r="P29" s="32">
        <f t="shared" si="4"/>
        <v>1491002.0434087098</v>
      </c>
      <c r="Q29" s="32">
        <f t="shared" si="4"/>
        <v>1491002.0434087098</v>
      </c>
      <c r="R29" s="32">
        <f t="shared" si="4"/>
        <v>1491002.0434087098</v>
      </c>
      <c r="S29" s="32">
        <f t="shared" si="4"/>
        <v>1491002.0434087098</v>
      </c>
      <c r="T29" s="32">
        <f t="shared" si="4"/>
        <v>1491002.0434087098</v>
      </c>
      <c r="U29" s="32">
        <f t="shared" si="4"/>
        <v>1491002.0434087098</v>
      </c>
      <c r="V29" s="32">
        <f t="shared" si="4"/>
        <v>1491002.0434087098</v>
      </c>
      <c r="W29" s="33">
        <f>SUM(B29:V29)</f>
        <v>20853420.122275118</v>
      </c>
    </row>
    <row r="30" spans="1:23" s="5" customFormat="1" x14ac:dyDescent="0.25">
      <c r="A30" s="5" t="s">
        <v>44</v>
      </c>
      <c r="B30" s="10">
        <v>0</v>
      </c>
      <c r="C30" s="8">
        <v>0</v>
      </c>
      <c r="D30" s="8">
        <v>0</v>
      </c>
      <c r="E30" s="42">
        <f>B24*1/100</f>
        <v>142596.78</v>
      </c>
      <c r="F30" s="42">
        <f>E30*1.05</f>
        <v>149726.61900000001</v>
      </c>
      <c r="G30" s="42">
        <f t="shared" ref="G30:V30" si="5">F30*1.05</f>
        <v>157212.94995000001</v>
      </c>
      <c r="H30" s="42">
        <f t="shared" si="5"/>
        <v>165073.59744750001</v>
      </c>
      <c r="I30" s="42">
        <f t="shared" si="5"/>
        <v>173327.27731987502</v>
      </c>
      <c r="J30" s="42">
        <f t="shared" si="5"/>
        <v>181993.64118586879</v>
      </c>
      <c r="K30" s="42">
        <f t="shared" si="5"/>
        <v>191093.32324516223</v>
      </c>
      <c r="L30" s="42">
        <f t="shared" si="5"/>
        <v>200647.98940742036</v>
      </c>
      <c r="M30" s="42">
        <f t="shared" si="5"/>
        <v>210680.38887779138</v>
      </c>
      <c r="N30" s="42">
        <f t="shared" si="5"/>
        <v>221214.40832168097</v>
      </c>
      <c r="O30" s="42">
        <f t="shared" si="5"/>
        <v>232275.12873776502</v>
      </c>
      <c r="P30" s="42">
        <f t="shared" si="5"/>
        <v>243888.88517465329</v>
      </c>
      <c r="Q30" s="42">
        <f t="shared" si="5"/>
        <v>256083.32943338595</v>
      </c>
      <c r="R30" s="42">
        <f t="shared" si="5"/>
        <v>268887.49590505526</v>
      </c>
      <c r="S30" s="42">
        <f t="shared" si="5"/>
        <v>282331.87070030801</v>
      </c>
      <c r="T30" s="42">
        <f t="shared" si="5"/>
        <v>296448.46423532342</v>
      </c>
      <c r="U30" s="42">
        <f t="shared" si="5"/>
        <v>311270.8874470896</v>
      </c>
      <c r="V30" s="42">
        <f t="shared" si="5"/>
        <v>326834.43181944411</v>
      </c>
      <c r="W30" s="9">
        <f>SUM(C30:V30)</f>
        <v>4011587.4682083232</v>
      </c>
    </row>
    <row r="31" spans="1:23" s="28" customFormat="1" x14ac:dyDescent="0.25">
      <c r="A31" s="28" t="s">
        <v>33</v>
      </c>
      <c r="B31" s="29"/>
      <c r="C31" s="29">
        <f>(C23-C28-C29)*0.2</f>
        <v>119280.16347269677</v>
      </c>
      <c r="D31" s="29">
        <f t="shared" ref="D31:V31" si="6">(D23-D28-D29)*0.2</f>
        <v>119280.16347269677</v>
      </c>
      <c r="E31" s="29">
        <f t="shared" si="6"/>
        <v>119280.16347269677</v>
      </c>
      <c r="F31" s="29">
        <f t="shared" si="6"/>
        <v>119280.16347269677</v>
      </c>
      <c r="G31" s="29">
        <f t="shared" si="6"/>
        <v>119280.16347269677</v>
      </c>
      <c r="H31" s="29">
        <f t="shared" si="6"/>
        <v>134190.18390678382</v>
      </c>
      <c r="I31" s="29">
        <f t="shared" si="6"/>
        <v>298200.40868174197</v>
      </c>
      <c r="J31" s="29">
        <f t="shared" si="6"/>
        <v>298200.40868174197</v>
      </c>
      <c r="K31" s="29">
        <f t="shared" si="6"/>
        <v>298200.40868174197</v>
      </c>
      <c r="L31" s="29">
        <f t="shared" si="6"/>
        <v>298200.40868174197</v>
      </c>
      <c r="M31" s="29">
        <f t="shared" si="6"/>
        <v>298200.40868174197</v>
      </c>
      <c r="N31" s="29">
        <f t="shared" si="6"/>
        <v>298200.40868174197</v>
      </c>
      <c r="O31" s="29">
        <f t="shared" si="6"/>
        <v>298200.40868174197</v>
      </c>
      <c r="P31" s="29">
        <f t="shared" si="6"/>
        <v>298200.40868174197</v>
      </c>
      <c r="Q31" s="29">
        <f t="shared" si="6"/>
        <v>298200.40868174197</v>
      </c>
      <c r="R31" s="29">
        <f t="shared" si="6"/>
        <v>298200.40868174197</v>
      </c>
      <c r="S31" s="29">
        <f t="shared" si="6"/>
        <v>298200.40868174197</v>
      </c>
      <c r="T31" s="29">
        <f t="shared" si="6"/>
        <v>298200.40868174197</v>
      </c>
      <c r="U31" s="29">
        <f t="shared" si="6"/>
        <v>298200.40868174197</v>
      </c>
      <c r="V31" s="29">
        <f t="shared" si="6"/>
        <v>298200.40868174197</v>
      </c>
      <c r="W31" s="9">
        <f>SUM(C31:V31)</f>
        <v>4905396.7228146549</v>
      </c>
    </row>
    <row r="32" spans="1:23" s="5" customFormat="1" x14ac:dyDescent="0.25">
      <c r="A32" s="25" t="s">
        <v>35</v>
      </c>
      <c r="B32" s="43">
        <f>-B27</f>
        <v>0</v>
      </c>
      <c r="C32" s="26">
        <f>C23-C28-C29-C30-C31</f>
        <v>477120.65389078704</v>
      </c>
      <c r="D32" s="26">
        <f t="shared" ref="D32:E32" si="7">D23-D28-D29-D30-D31</f>
        <v>477120.65389078704</v>
      </c>
      <c r="E32" s="26">
        <f t="shared" si="7"/>
        <v>334523.87389078701</v>
      </c>
      <c r="F32" s="26">
        <f>F23-F28-F29-F30-F31</f>
        <v>327394.03489078704</v>
      </c>
      <c r="G32" s="26">
        <f t="shared" ref="G32:O32" si="8">G23-G28-G29-G30-G31</f>
        <v>319907.703940787</v>
      </c>
      <c r="H32" s="26">
        <f t="shared" si="8"/>
        <v>371687.13817963528</v>
      </c>
      <c r="I32" s="26">
        <f t="shared" si="8"/>
        <v>1019474.3574070928</v>
      </c>
      <c r="J32" s="26">
        <f t="shared" si="8"/>
        <v>1010807.9935410991</v>
      </c>
      <c r="K32" s="26">
        <f t="shared" si="8"/>
        <v>1001708.3114818058</v>
      </c>
      <c r="L32" s="26">
        <f t="shared" si="8"/>
        <v>992153.6453195475</v>
      </c>
      <c r="M32" s="26">
        <f t="shared" si="8"/>
        <v>982121.24584917654</v>
      </c>
      <c r="N32" s="26">
        <f t="shared" si="8"/>
        <v>971587.22640528693</v>
      </c>
      <c r="O32" s="26">
        <f t="shared" si="8"/>
        <v>960526.50598920276</v>
      </c>
      <c r="P32" s="26">
        <f>P23-P28-P29-P30-P31</f>
        <v>948912.74955231464</v>
      </c>
      <c r="Q32" s="26">
        <f t="shared" ref="Q32:V32" si="9">Q23-Q28-Q29-Q30-Q31</f>
        <v>936718.30529358191</v>
      </c>
      <c r="R32" s="26">
        <f t="shared" si="9"/>
        <v>923914.1388219127</v>
      </c>
      <c r="S32" s="26">
        <f t="shared" si="9"/>
        <v>910469.76402666001</v>
      </c>
      <c r="T32" s="26">
        <f t="shared" si="9"/>
        <v>896353.17049164441</v>
      </c>
      <c r="U32" s="26">
        <f t="shared" si="9"/>
        <v>881530.74727987824</v>
      </c>
      <c r="V32" s="26">
        <f t="shared" si="9"/>
        <v>865967.20290752384</v>
      </c>
      <c r="W32" s="9">
        <f>SUM(C32:V32)</f>
        <v>15609999.423050299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5"/>
  <sheetViews>
    <sheetView topLeftCell="A25" zoomScale="99" zoomScaleNormal="99" workbookViewId="0">
      <selection activeCell="C31" sqref="C31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36</v>
      </c>
      <c r="D3" s="1"/>
    </row>
    <row r="4" spans="1:22" x14ac:dyDescent="0.25">
      <c r="A4" s="1" t="s">
        <v>38</v>
      </c>
      <c r="B4" s="2">
        <f>604.44*5</f>
        <v>3022.2000000000003</v>
      </c>
      <c r="C4" s="1" t="s">
        <v>60</v>
      </c>
      <c r="D4" s="1"/>
    </row>
    <row r="5" spans="1:22" x14ac:dyDescent="0.25">
      <c r="A5" s="23" t="s">
        <v>39</v>
      </c>
      <c r="B5" s="2"/>
      <c r="C5" s="1"/>
      <c r="D5" s="1"/>
    </row>
    <row r="6" spans="1:22" x14ac:dyDescent="0.25">
      <c r="A6" s="24" t="s">
        <v>40</v>
      </c>
      <c r="B6" s="2"/>
      <c r="C6" s="1"/>
      <c r="D6" s="1"/>
    </row>
    <row r="7" spans="1:22" x14ac:dyDescent="0.25">
      <c r="A7" s="3" t="s">
        <v>42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32</v>
      </c>
    </row>
    <row r="8" spans="1:22" x14ac:dyDescent="0.25">
      <c r="A8" s="24" t="s">
        <v>41</v>
      </c>
      <c r="B8" s="3"/>
      <c r="C8" s="1"/>
      <c r="D8" s="1"/>
    </row>
    <row r="9" spans="1:22" x14ac:dyDescent="0.25">
      <c r="A9" s="3" t="s">
        <v>42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32</v>
      </c>
    </row>
    <row r="10" spans="1:22" ht="22.15" customHeight="1" x14ac:dyDescent="0.25">
      <c r="A10" s="35" t="s">
        <v>56</v>
      </c>
      <c r="B10" s="3">
        <v>130000000</v>
      </c>
      <c r="C10" s="1" t="s">
        <v>32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62</v>
      </c>
      <c r="B13" s="3">
        <v>20358669.5</v>
      </c>
      <c r="C13" s="1" t="s">
        <v>32</v>
      </c>
      <c r="D13" s="1"/>
      <c r="F13" s="36"/>
    </row>
    <row r="14" spans="1:22" ht="26.45" customHeight="1" x14ac:dyDescent="0.25">
      <c r="A14" s="1" t="s">
        <v>57</v>
      </c>
      <c r="B14" s="3">
        <v>20000000</v>
      </c>
      <c r="C14" s="1" t="s">
        <v>32</v>
      </c>
      <c r="D14" s="1"/>
      <c r="F14" s="36"/>
    </row>
    <row r="15" spans="1:22" ht="22.9" customHeight="1" x14ac:dyDescent="0.25">
      <c r="A15" s="1" t="s">
        <v>54</v>
      </c>
      <c r="B15" s="3">
        <v>300000</v>
      </c>
      <c r="C15" s="1" t="s">
        <v>43</v>
      </c>
      <c r="D15" s="1"/>
      <c r="F15" s="36"/>
    </row>
    <row r="16" spans="1:22" ht="21" customHeight="1" x14ac:dyDescent="0.25">
      <c r="A16" s="1" t="s">
        <v>46</v>
      </c>
      <c r="B16" s="41">
        <v>0.01</v>
      </c>
      <c r="C16" s="1" t="s">
        <v>45</v>
      </c>
      <c r="D16" s="1"/>
      <c r="F16" s="36"/>
    </row>
    <row r="17" spans="1:23" x14ac:dyDescent="0.25">
      <c r="A17" s="3" t="s">
        <v>47</v>
      </c>
      <c r="B17" s="41">
        <v>0.3</v>
      </c>
      <c r="C17" s="1" t="s">
        <v>48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51</v>
      </c>
      <c r="B23" s="6">
        <v>0</v>
      </c>
      <c r="C23" s="6">
        <f>((($B$4*$B$7*$F$7)-((($B$4*$B$7*$F$7)*10%))+((($B$4*$B$9)*$F$9)+((($B$4*$B$7)*$F$9)*10%))))</f>
        <v>3362389.5650410806</v>
      </c>
      <c r="D23" s="6">
        <f t="shared" ref="D23:V23" si="0">((($B$4*$B$7*$F$7)-((($B$4*$B$7*$F$7)*10%))+((($B$4*$B$9)*$F$9)+((($B$4*$B$7)*$F$9)*10%))))</f>
        <v>3362389.5650410806</v>
      </c>
      <c r="E23" s="6">
        <f t="shared" si="0"/>
        <v>3362389.5650410806</v>
      </c>
      <c r="F23" s="6">
        <f t="shared" si="0"/>
        <v>3362389.5650410806</v>
      </c>
      <c r="G23" s="6">
        <f t="shared" si="0"/>
        <v>3362389.5650410806</v>
      </c>
      <c r="H23" s="6">
        <f t="shared" si="0"/>
        <v>3362389.5650410806</v>
      </c>
      <c r="I23" s="6">
        <f t="shared" si="0"/>
        <v>3362389.5650410806</v>
      </c>
      <c r="J23" s="6">
        <f t="shared" si="0"/>
        <v>3362389.5650410806</v>
      </c>
      <c r="K23" s="6">
        <f t="shared" si="0"/>
        <v>3362389.5650410806</v>
      </c>
      <c r="L23" s="6">
        <f t="shared" si="0"/>
        <v>3362389.5650410806</v>
      </c>
      <c r="M23" s="6">
        <f t="shared" si="0"/>
        <v>3362389.5650410806</v>
      </c>
      <c r="N23" s="6">
        <f t="shared" si="0"/>
        <v>3362389.5650410806</v>
      </c>
      <c r="O23" s="6">
        <f t="shared" si="0"/>
        <v>3362389.5650410806</v>
      </c>
      <c r="P23" s="6">
        <f t="shared" si="0"/>
        <v>3362389.5650410806</v>
      </c>
      <c r="Q23" s="6">
        <f t="shared" si="0"/>
        <v>3362389.5650410806</v>
      </c>
      <c r="R23" s="6">
        <f t="shared" si="0"/>
        <v>3362389.5650410806</v>
      </c>
      <c r="S23" s="6">
        <f t="shared" si="0"/>
        <v>3362389.5650410806</v>
      </c>
      <c r="T23" s="6">
        <f t="shared" si="0"/>
        <v>3362389.5650410806</v>
      </c>
      <c r="U23" s="6">
        <f t="shared" si="0"/>
        <v>3362389.5650410806</v>
      </c>
      <c r="V23" s="6">
        <f t="shared" si="0"/>
        <v>3362389.5650410806</v>
      </c>
      <c r="W23" s="9">
        <f>SUM(B23:V23)</f>
        <v>67247791.300821617</v>
      </c>
    </row>
    <row r="24" spans="1:23" s="4" customFormat="1" x14ac:dyDescent="0.25">
      <c r="A24" s="5" t="s">
        <v>28</v>
      </c>
      <c r="B24" s="6">
        <f>B13</f>
        <v>20358669.5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20358669.5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66</v>
      </c>
      <c r="B26" s="10">
        <f>B13</f>
        <v>20358669.5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50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52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59</v>
      </c>
      <c r="B29" s="44">
        <f>-B13</f>
        <v>-20358669.5</v>
      </c>
      <c r="C29" s="32">
        <f>C23*0.8</f>
        <v>2689911.6520328647</v>
      </c>
      <c r="D29" s="32">
        <f t="shared" ref="D29:G29" si="3">D23*0.8</f>
        <v>2689911.6520328647</v>
      </c>
      <c r="E29" s="32">
        <f t="shared" si="3"/>
        <v>2689911.6520328647</v>
      </c>
      <c r="F29" s="32">
        <f t="shared" si="3"/>
        <v>2689911.6520328647</v>
      </c>
      <c r="G29" s="32">
        <f t="shared" si="3"/>
        <v>2689911.6520328647</v>
      </c>
      <c r="H29" s="32">
        <f>(H23*0.8*11/12)+(H23*0.5*1/12)</f>
        <v>2605851.9129068376</v>
      </c>
      <c r="I29" s="32">
        <f>I23*0.5</f>
        <v>1681194.7825205403</v>
      </c>
      <c r="J29" s="32">
        <f t="shared" ref="J29:V29" si="4">J23*0.5</f>
        <v>1681194.7825205403</v>
      </c>
      <c r="K29" s="32">
        <f t="shared" si="4"/>
        <v>1681194.7825205403</v>
      </c>
      <c r="L29" s="32">
        <f t="shared" si="4"/>
        <v>1681194.7825205403</v>
      </c>
      <c r="M29" s="32">
        <f t="shared" si="4"/>
        <v>1681194.7825205403</v>
      </c>
      <c r="N29" s="32">
        <f t="shared" si="4"/>
        <v>1681194.7825205403</v>
      </c>
      <c r="O29" s="32">
        <f t="shared" si="4"/>
        <v>1681194.7825205403</v>
      </c>
      <c r="P29" s="32">
        <f t="shared" si="4"/>
        <v>1681194.7825205403</v>
      </c>
      <c r="Q29" s="32">
        <f t="shared" si="4"/>
        <v>1681194.7825205403</v>
      </c>
      <c r="R29" s="32">
        <f t="shared" si="4"/>
        <v>1681194.7825205403</v>
      </c>
      <c r="S29" s="32">
        <f t="shared" si="4"/>
        <v>1681194.7825205403</v>
      </c>
      <c r="T29" s="32">
        <f t="shared" si="4"/>
        <v>1681194.7825205403</v>
      </c>
      <c r="U29" s="32">
        <f t="shared" si="4"/>
        <v>1681194.7825205403</v>
      </c>
      <c r="V29" s="32">
        <f t="shared" si="4"/>
        <v>1681194.7825205403</v>
      </c>
      <c r="W29" s="33">
        <f>SUM(B29:V29)</f>
        <v>19233467.628358725</v>
      </c>
    </row>
    <row r="30" spans="1:23" s="5" customFormat="1" x14ac:dyDescent="0.25">
      <c r="A30" s="5" t="s">
        <v>44</v>
      </c>
      <c r="B30" s="10">
        <v>0</v>
      </c>
      <c r="C30" s="8">
        <v>0</v>
      </c>
      <c r="D30" s="8">
        <v>0</v>
      </c>
      <c r="E30" s="42">
        <f>B24*1/100</f>
        <v>203586.69500000001</v>
      </c>
      <c r="F30" s="42">
        <f>E30*1.05</f>
        <v>213766.02975000002</v>
      </c>
      <c r="G30" s="42">
        <f t="shared" ref="G30:V30" si="5">F30*1.05</f>
        <v>224454.33123750004</v>
      </c>
      <c r="H30" s="42">
        <f t="shared" si="5"/>
        <v>235677.04779937505</v>
      </c>
      <c r="I30" s="42">
        <f t="shared" si="5"/>
        <v>247460.90018934381</v>
      </c>
      <c r="J30" s="42">
        <f t="shared" si="5"/>
        <v>259833.94519881101</v>
      </c>
      <c r="K30" s="42">
        <f t="shared" si="5"/>
        <v>272825.64245875156</v>
      </c>
      <c r="L30" s="42">
        <f t="shared" si="5"/>
        <v>286466.92458168918</v>
      </c>
      <c r="M30" s="42">
        <f t="shared" si="5"/>
        <v>300790.27081077365</v>
      </c>
      <c r="N30" s="42">
        <f t="shared" si="5"/>
        <v>315829.78435131232</v>
      </c>
      <c r="O30" s="42">
        <f t="shared" si="5"/>
        <v>331621.27356887795</v>
      </c>
      <c r="P30" s="42">
        <f t="shared" si="5"/>
        <v>348202.33724732185</v>
      </c>
      <c r="Q30" s="42">
        <f t="shared" si="5"/>
        <v>365612.45410968794</v>
      </c>
      <c r="R30" s="42">
        <f t="shared" si="5"/>
        <v>383893.07681517233</v>
      </c>
      <c r="S30" s="42">
        <f t="shared" si="5"/>
        <v>403087.73065593094</v>
      </c>
      <c r="T30" s="42">
        <f t="shared" si="5"/>
        <v>423242.11718872748</v>
      </c>
      <c r="U30" s="42">
        <f t="shared" si="5"/>
        <v>444404.22304816387</v>
      </c>
      <c r="V30" s="42">
        <f t="shared" si="5"/>
        <v>466624.43420057208</v>
      </c>
      <c r="W30" s="9">
        <f>SUM(C30:V30)</f>
        <v>5727379.2182120103</v>
      </c>
    </row>
    <row r="31" spans="1:23" s="28" customFormat="1" x14ac:dyDescent="0.25">
      <c r="A31" s="28" t="s">
        <v>33</v>
      </c>
      <c r="B31" s="29"/>
      <c r="C31" s="29">
        <f>(C23-C28-C29)*0.2</f>
        <v>134495.58260164317</v>
      </c>
      <c r="D31" s="29">
        <f t="shared" ref="D31:V31" si="6">(D23-D28-D29)*0.2</f>
        <v>134495.58260164317</v>
      </c>
      <c r="E31" s="29">
        <f t="shared" si="6"/>
        <v>134495.58260164317</v>
      </c>
      <c r="F31" s="29">
        <f t="shared" si="6"/>
        <v>134495.58260164317</v>
      </c>
      <c r="G31" s="29">
        <f t="shared" si="6"/>
        <v>134495.58260164317</v>
      </c>
      <c r="H31" s="29">
        <f t="shared" si="6"/>
        <v>151307.53042684859</v>
      </c>
      <c r="I31" s="29">
        <f t="shared" si="6"/>
        <v>336238.95650410809</v>
      </c>
      <c r="J31" s="29">
        <f t="shared" si="6"/>
        <v>336238.95650410809</v>
      </c>
      <c r="K31" s="29">
        <f t="shared" si="6"/>
        <v>336238.95650410809</v>
      </c>
      <c r="L31" s="29">
        <f t="shared" si="6"/>
        <v>336238.95650410809</v>
      </c>
      <c r="M31" s="29">
        <f t="shared" si="6"/>
        <v>336238.95650410809</v>
      </c>
      <c r="N31" s="29">
        <f t="shared" si="6"/>
        <v>336238.95650410809</v>
      </c>
      <c r="O31" s="29">
        <f t="shared" si="6"/>
        <v>336238.95650410809</v>
      </c>
      <c r="P31" s="29">
        <f t="shared" si="6"/>
        <v>336238.95650410809</v>
      </c>
      <c r="Q31" s="29">
        <f t="shared" si="6"/>
        <v>336238.95650410809</v>
      </c>
      <c r="R31" s="29">
        <f t="shared" si="6"/>
        <v>336238.95650410809</v>
      </c>
      <c r="S31" s="29">
        <f t="shared" si="6"/>
        <v>336238.95650410809</v>
      </c>
      <c r="T31" s="29">
        <f t="shared" si="6"/>
        <v>336238.95650410809</v>
      </c>
      <c r="U31" s="29">
        <f t="shared" si="6"/>
        <v>336238.95650410809</v>
      </c>
      <c r="V31" s="29">
        <f t="shared" si="6"/>
        <v>336238.95650410809</v>
      </c>
      <c r="W31" s="9">
        <f>SUM(C31:V31)</f>
        <v>5531130.8344925772</v>
      </c>
    </row>
    <row r="32" spans="1:23" s="5" customFormat="1" x14ac:dyDescent="0.25">
      <c r="A32" s="25" t="s">
        <v>35</v>
      </c>
      <c r="B32" s="43">
        <f>-B27</f>
        <v>0</v>
      </c>
      <c r="C32" s="26">
        <f>C23-C28-C29-C30-C31</f>
        <v>537982.33040657267</v>
      </c>
      <c r="D32" s="26">
        <f t="shared" ref="D32:E32" si="7">D23-D28-D29-D30-D31</f>
        <v>537982.33040657267</v>
      </c>
      <c r="E32" s="26">
        <f t="shared" si="7"/>
        <v>334395.63540657266</v>
      </c>
      <c r="F32" s="26">
        <f>F23-F28-F29-F30-F31</f>
        <v>324216.30065657268</v>
      </c>
      <c r="G32" s="26">
        <f t="shared" ref="G32:O32" si="8">G23-G28-G29-G30-G31</f>
        <v>313527.9991690726</v>
      </c>
      <c r="H32" s="26">
        <f t="shared" si="8"/>
        <v>369553.07390801935</v>
      </c>
      <c r="I32" s="26">
        <f t="shared" si="8"/>
        <v>1097494.9258270883</v>
      </c>
      <c r="J32" s="26">
        <f t="shared" si="8"/>
        <v>1085121.8808176212</v>
      </c>
      <c r="K32" s="26">
        <f t="shared" si="8"/>
        <v>1072130.1835576806</v>
      </c>
      <c r="L32" s="26">
        <f t="shared" si="8"/>
        <v>1058488.9014347431</v>
      </c>
      <c r="M32" s="26">
        <f t="shared" si="8"/>
        <v>1044165.5552056585</v>
      </c>
      <c r="N32" s="26">
        <f t="shared" si="8"/>
        <v>1029126.0416651198</v>
      </c>
      <c r="O32" s="26">
        <f t="shared" si="8"/>
        <v>1013334.5524475542</v>
      </c>
      <c r="P32" s="26">
        <f>P23-P28-P29-P30-P31</f>
        <v>996753.48876911029</v>
      </c>
      <c r="Q32" s="26">
        <f t="shared" ref="Q32:V32" si="9">Q23-Q28-Q29-Q30-Q31</f>
        <v>979343.37190674408</v>
      </c>
      <c r="R32" s="26">
        <f t="shared" si="9"/>
        <v>961062.74920125981</v>
      </c>
      <c r="S32" s="26">
        <f t="shared" si="9"/>
        <v>941868.0953605012</v>
      </c>
      <c r="T32" s="26">
        <f t="shared" si="9"/>
        <v>921713.70882770466</v>
      </c>
      <c r="U32" s="26">
        <f t="shared" si="9"/>
        <v>900551.60296826833</v>
      </c>
      <c r="V32" s="26">
        <f t="shared" si="9"/>
        <v>878331.39181586006</v>
      </c>
      <c r="W32" s="9">
        <f>SUM(C32:V32)</f>
        <v>16397144.119758297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2:22" s="21" customFormat="1" x14ac:dyDescent="0.25"/>
  </sheetData>
  <pageMargins left="0.25" right="0.25" top="0.75" bottom="0.75" header="0.3" footer="0.3"/>
  <pageSetup paperSize="9" scale="3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4"/>
  <sheetViews>
    <sheetView topLeftCell="P22" zoomScale="99" zoomScaleNormal="99" workbookViewId="0">
      <selection activeCell="C31" sqref="C31:V31"/>
    </sheetView>
  </sheetViews>
  <sheetFormatPr defaultRowHeight="15" x14ac:dyDescent="0.25"/>
  <cols>
    <col min="1" max="1" width="60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36</v>
      </c>
      <c r="D3" s="1"/>
    </row>
    <row r="4" spans="1:22" x14ac:dyDescent="0.25">
      <c r="A4" s="1" t="s">
        <v>38</v>
      </c>
      <c r="B4" s="2">
        <f>459.54*5</f>
        <v>2297.7000000000003</v>
      </c>
      <c r="C4" s="1" t="s">
        <v>55</v>
      </c>
      <c r="D4" s="1"/>
    </row>
    <row r="5" spans="1:22" x14ac:dyDescent="0.25">
      <c r="A5" s="23" t="s">
        <v>39</v>
      </c>
      <c r="B5" s="2"/>
      <c r="C5" s="1"/>
      <c r="D5" s="1"/>
    </row>
    <row r="6" spans="1:22" x14ac:dyDescent="0.25">
      <c r="A6" s="24" t="s">
        <v>40</v>
      </c>
      <c r="B6" s="2"/>
      <c r="C6" s="1"/>
      <c r="D6" s="1"/>
    </row>
    <row r="7" spans="1:22" x14ac:dyDescent="0.25">
      <c r="A7" s="3" t="s">
        <v>42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32</v>
      </c>
    </row>
    <row r="8" spans="1:22" x14ac:dyDescent="0.25">
      <c r="A8" s="24" t="s">
        <v>41</v>
      </c>
      <c r="B8" s="3"/>
      <c r="C8" s="1"/>
      <c r="D8" s="1"/>
    </row>
    <row r="9" spans="1:22" x14ac:dyDescent="0.25">
      <c r="A9" s="3" t="s">
        <v>42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32</v>
      </c>
    </row>
    <row r="10" spans="1:22" ht="22.15" customHeight="1" x14ac:dyDescent="0.25">
      <c r="A10" s="35" t="s">
        <v>56</v>
      </c>
      <c r="B10" s="3">
        <v>130000000</v>
      </c>
      <c r="C10" s="1" t="s">
        <v>32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58</v>
      </c>
      <c r="B13" s="3">
        <v>12814707</v>
      </c>
      <c r="C13" s="1" t="s">
        <v>32</v>
      </c>
      <c r="D13" s="1"/>
      <c r="F13" s="36"/>
    </row>
    <row r="14" spans="1:22" ht="26.45" customHeight="1" x14ac:dyDescent="0.25">
      <c r="A14" s="1" t="s">
        <v>57</v>
      </c>
      <c r="B14" s="3">
        <v>20000000</v>
      </c>
      <c r="C14" s="1" t="s">
        <v>32</v>
      </c>
      <c r="D14" s="1"/>
      <c r="F14" s="36"/>
    </row>
    <row r="15" spans="1:22" ht="22.9" customHeight="1" x14ac:dyDescent="0.25">
      <c r="A15" s="1" t="s">
        <v>54</v>
      </c>
      <c r="B15" s="3">
        <v>300000</v>
      </c>
      <c r="C15" s="1" t="s">
        <v>43</v>
      </c>
      <c r="D15" s="1"/>
      <c r="F15" s="36"/>
    </row>
    <row r="16" spans="1:22" ht="21" customHeight="1" x14ac:dyDescent="0.25">
      <c r="A16" s="1" t="s">
        <v>46</v>
      </c>
      <c r="B16" s="41">
        <v>0.01</v>
      </c>
      <c r="C16" s="1" t="s">
        <v>45</v>
      </c>
      <c r="D16" s="1"/>
      <c r="F16" s="36"/>
    </row>
    <row r="17" spans="1:23" x14ac:dyDescent="0.25">
      <c r="A17" s="3" t="s">
        <v>47</v>
      </c>
      <c r="B17" s="41">
        <v>0.3</v>
      </c>
      <c r="C17" s="1" t="s">
        <v>48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51</v>
      </c>
      <c r="B23" s="6">
        <v>0</v>
      </c>
      <c r="C23" s="6">
        <f>((($B$4*$B$7*$F$7)-((($B$4*$B$7*$F$7)*10%))+((($B$4*$B$9)*$F$9)+((($B$4*$B$7)*$F$9)*10%))))</f>
        <v>2556337.2720517805</v>
      </c>
      <c r="D23" s="6">
        <f t="shared" ref="D23:V23" si="0">((($B$4*$B$7*$F$7)-((($B$4*$B$7*$F$7)*10%))+((($B$4*$B$9)*$F$9)+((($B$4*$B$7)*$F$9)*10%))))</f>
        <v>2556337.2720517805</v>
      </c>
      <c r="E23" s="6">
        <f t="shared" si="0"/>
        <v>2556337.2720517805</v>
      </c>
      <c r="F23" s="6">
        <f t="shared" si="0"/>
        <v>2556337.2720517805</v>
      </c>
      <c r="G23" s="6">
        <f t="shared" si="0"/>
        <v>2556337.2720517805</v>
      </c>
      <c r="H23" s="6">
        <f t="shared" si="0"/>
        <v>2556337.2720517805</v>
      </c>
      <c r="I23" s="6">
        <f t="shared" si="0"/>
        <v>2556337.2720517805</v>
      </c>
      <c r="J23" s="6">
        <f t="shared" si="0"/>
        <v>2556337.2720517805</v>
      </c>
      <c r="K23" s="6">
        <f t="shared" si="0"/>
        <v>2556337.2720517805</v>
      </c>
      <c r="L23" s="6">
        <f t="shared" si="0"/>
        <v>2556337.2720517805</v>
      </c>
      <c r="M23" s="6">
        <f t="shared" si="0"/>
        <v>2556337.2720517805</v>
      </c>
      <c r="N23" s="6">
        <f t="shared" si="0"/>
        <v>2556337.2720517805</v>
      </c>
      <c r="O23" s="6">
        <f t="shared" si="0"/>
        <v>2556337.2720517805</v>
      </c>
      <c r="P23" s="6">
        <f t="shared" si="0"/>
        <v>2556337.2720517805</v>
      </c>
      <c r="Q23" s="6">
        <f t="shared" si="0"/>
        <v>2556337.2720517805</v>
      </c>
      <c r="R23" s="6">
        <f t="shared" si="0"/>
        <v>2556337.2720517805</v>
      </c>
      <c r="S23" s="6">
        <f t="shared" si="0"/>
        <v>2556337.2720517805</v>
      </c>
      <c r="T23" s="6">
        <f t="shared" si="0"/>
        <v>2556337.2720517805</v>
      </c>
      <c r="U23" s="6">
        <f t="shared" si="0"/>
        <v>2556337.2720517805</v>
      </c>
      <c r="V23" s="6">
        <f t="shared" si="0"/>
        <v>2556337.2720517805</v>
      </c>
      <c r="W23" s="9">
        <f>SUM(B23:V23)</f>
        <v>51126745.441035621</v>
      </c>
    </row>
    <row r="24" spans="1:23" s="4" customFormat="1" x14ac:dyDescent="0.25">
      <c r="A24" s="5" t="s">
        <v>28</v>
      </c>
      <c r="B24" s="6">
        <f>B13</f>
        <v>12814707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12814707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66</v>
      </c>
      <c r="B26" s="10">
        <f>B13</f>
        <v>12814707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50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52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59</v>
      </c>
      <c r="B29" s="44">
        <f>-B13</f>
        <v>-12814707</v>
      </c>
      <c r="C29" s="32">
        <f>C23*0.8</f>
        <v>2045069.8176414245</v>
      </c>
      <c r="D29" s="32">
        <f t="shared" ref="D29:G29" si="3">D23*0.8</f>
        <v>2045069.8176414245</v>
      </c>
      <c r="E29" s="32">
        <f t="shared" si="3"/>
        <v>2045069.8176414245</v>
      </c>
      <c r="F29" s="32">
        <f t="shared" si="3"/>
        <v>2045069.8176414245</v>
      </c>
      <c r="G29" s="32">
        <f t="shared" si="3"/>
        <v>2045069.8176414245</v>
      </c>
      <c r="H29" s="32">
        <f>(H23*0.8*11/12)+(H23*0.5*1/12)</f>
        <v>1981161.38584013</v>
      </c>
      <c r="I29" s="32">
        <f>I23*0.5</f>
        <v>1278168.6360258902</v>
      </c>
      <c r="J29" s="32">
        <f t="shared" ref="J29:V29" si="4">J23*0.5</f>
        <v>1278168.6360258902</v>
      </c>
      <c r="K29" s="32">
        <f t="shared" si="4"/>
        <v>1278168.6360258902</v>
      </c>
      <c r="L29" s="32">
        <f t="shared" si="4"/>
        <v>1278168.6360258902</v>
      </c>
      <c r="M29" s="32">
        <f t="shared" si="4"/>
        <v>1278168.6360258902</v>
      </c>
      <c r="N29" s="32">
        <f t="shared" si="4"/>
        <v>1278168.6360258902</v>
      </c>
      <c r="O29" s="32">
        <f t="shared" si="4"/>
        <v>1278168.6360258902</v>
      </c>
      <c r="P29" s="32">
        <f t="shared" si="4"/>
        <v>1278168.6360258902</v>
      </c>
      <c r="Q29" s="32">
        <f t="shared" si="4"/>
        <v>1278168.6360258902</v>
      </c>
      <c r="R29" s="32">
        <f t="shared" si="4"/>
        <v>1278168.6360258902</v>
      </c>
      <c r="S29" s="32">
        <f t="shared" si="4"/>
        <v>1278168.6360258902</v>
      </c>
      <c r="T29" s="32">
        <f t="shared" si="4"/>
        <v>1278168.6360258902</v>
      </c>
      <c r="U29" s="32">
        <f t="shared" si="4"/>
        <v>1278168.6360258902</v>
      </c>
      <c r="V29" s="32">
        <f t="shared" si="4"/>
        <v>1278168.6360258902</v>
      </c>
      <c r="W29" s="33">
        <f>SUM(B29:V29)</f>
        <v>17286164.378409717</v>
      </c>
    </row>
    <row r="30" spans="1:23" s="5" customFormat="1" x14ac:dyDescent="0.25">
      <c r="A30" s="5" t="s">
        <v>44</v>
      </c>
      <c r="B30" s="10">
        <v>0</v>
      </c>
      <c r="C30" s="8">
        <v>0</v>
      </c>
      <c r="D30" s="8">
        <v>0</v>
      </c>
      <c r="E30" s="42">
        <f>B24*1/100</f>
        <v>128147.07</v>
      </c>
      <c r="F30" s="42">
        <f>E30*1.05</f>
        <v>134554.4235</v>
      </c>
      <c r="G30" s="42">
        <f t="shared" ref="G30:V30" si="5">F30*1.05</f>
        <v>141282.14467500002</v>
      </c>
      <c r="H30" s="42">
        <f t="shared" si="5"/>
        <v>148346.25190875001</v>
      </c>
      <c r="I30" s="42">
        <f t="shared" si="5"/>
        <v>155763.56450418753</v>
      </c>
      <c r="J30" s="42">
        <f t="shared" si="5"/>
        <v>163551.74272939691</v>
      </c>
      <c r="K30" s="42">
        <f t="shared" si="5"/>
        <v>171729.32986586675</v>
      </c>
      <c r="L30" s="42">
        <f t="shared" si="5"/>
        <v>180315.7963591601</v>
      </c>
      <c r="M30" s="42">
        <f t="shared" si="5"/>
        <v>189331.58617711812</v>
      </c>
      <c r="N30" s="42">
        <f t="shared" si="5"/>
        <v>198798.16548597402</v>
      </c>
      <c r="O30" s="42">
        <f t="shared" si="5"/>
        <v>208738.07376027273</v>
      </c>
      <c r="P30" s="42">
        <f t="shared" si="5"/>
        <v>219174.97744828637</v>
      </c>
      <c r="Q30" s="42">
        <f t="shared" si="5"/>
        <v>230133.72632070069</v>
      </c>
      <c r="R30" s="42">
        <f t="shared" si="5"/>
        <v>241640.41263673574</v>
      </c>
      <c r="S30" s="42">
        <f t="shared" si="5"/>
        <v>253722.43326857252</v>
      </c>
      <c r="T30" s="42">
        <f t="shared" si="5"/>
        <v>266408.55493200116</v>
      </c>
      <c r="U30" s="42">
        <f t="shared" si="5"/>
        <v>279728.98267860123</v>
      </c>
      <c r="V30" s="42">
        <f t="shared" si="5"/>
        <v>293715.43181253131</v>
      </c>
      <c r="W30" s="9">
        <f>SUM(C30:V30)</f>
        <v>3605082.6680631549</v>
      </c>
    </row>
    <row r="31" spans="1:23" s="28" customFormat="1" x14ac:dyDescent="0.25">
      <c r="A31" s="28" t="s">
        <v>33</v>
      </c>
      <c r="B31" s="29"/>
      <c r="C31" s="29">
        <f>(C23-C28-C29)*0.2</f>
        <v>102253.4908820712</v>
      </c>
      <c r="D31" s="29">
        <f t="shared" ref="D31:V31" si="6">(D23-D28-D29)*0.2</f>
        <v>102253.4908820712</v>
      </c>
      <c r="E31" s="29">
        <f t="shared" si="6"/>
        <v>102253.4908820712</v>
      </c>
      <c r="F31" s="29">
        <f t="shared" si="6"/>
        <v>102253.4908820712</v>
      </c>
      <c r="G31" s="29">
        <f t="shared" si="6"/>
        <v>102253.4908820712</v>
      </c>
      <c r="H31" s="29">
        <f t="shared" si="6"/>
        <v>115035.1772423301</v>
      </c>
      <c r="I31" s="29">
        <f t="shared" si="6"/>
        <v>255633.72720517806</v>
      </c>
      <c r="J31" s="29">
        <f t="shared" si="6"/>
        <v>255633.72720517806</v>
      </c>
      <c r="K31" s="29">
        <f t="shared" si="6"/>
        <v>255633.72720517806</v>
      </c>
      <c r="L31" s="29">
        <f t="shared" si="6"/>
        <v>255633.72720517806</v>
      </c>
      <c r="M31" s="29">
        <f t="shared" si="6"/>
        <v>255633.72720517806</v>
      </c>
      <c r="N31" s="29">
        <f t="shared" si="6"/>
        <v>255633.72720517806</v>
      </c>
      <c r="O31" s="29">
        <f t="shared" si="6"/>
        <v>255633.72720517806</v>
      </c>
      <c r="P31" s="29">
        <f t="shared" si="6"/>
        <v>255633.72720517806</v>
      </c>
      <c r="Q31" s="29">
        <f t="shared" si="6"/>
        <v>255633.72720517806</v>
      </c>
      <c r="R31" s="29">
        <f t="shared" si="6"/>
        <v>255633.72720517806</v>
      </c>
      <c r="S31" s="29">
        <f t="shared" si="6"/>
        <v>255633.72720517806</v>
      </c>
      <c r="T31" s="29">
        <f t="shared" si="6"/>
        <v>255633.72720517806</v>
      </c>
      <c r="U31" s="29">
        <f t="shared" si="6"/>
        <v>255633.72720517806</v>
      </c>
      <c r="V31" s="29">
        <f t="shared" si="6"/>
        <v>255633.72720517806</v>
      </c>
      <c r="W31" s="9">
        <f>SUM(C31:V31)</f>
        <v>4205174.8125251802</v>
      </c>
    </row>
    <row r="32" spans="1:23" s="5" customFormat="1" x14ac:dyDescent="0.25">
      <c r="A32" s="25" t="s">
        <v>35</v>
      </c>
      <c r="B32" s="43">
        <f>-B27</f>
        <v>0</v>
      </c>
      <c r="C32" s="26">
        <f>C23-C28-C29-C30-C31</f>
        <v>409013.9635282848</v>
      </c>
      <c r="D32" s="26">
        <f t="shared" ref="D32:E32" si="7">D23-D28-D29-D30-D31</f>
        <v>409013.9635282848</v>
      </c>
      <c r="E32" s="26">
        <f t="shared" si="7"/>
        <v>280866.8935282848</v>
      </c>
      <c r="F32" s="26">
        <f>F23-F28-F29-F30-F31</f>
        <v>274459.54002828477</v>
      </c>
      <c r="G32" s="26">
        <f t="shared" ref="G32:O32" si="8">G23-G28-G29-G30-G31</f>
        <v>267731.81885328481</v>
      </c>
      <c r="H32" s="26">
        <f t="shared" si="8"/>
        <v>311794.4570605703</v>
      </c>
      <c r="I32" s="26">
        <f t="shared" si="8"/>
        <v>866771.34431652469</v>
      </c>
      <c r="J32" s="26">
        <f t="shared" si="8"/>
        <v>858983.16609131522</v>
      </c>
      <c r="K32" s="26">
        <f t="shared" si="8"/>
        <v>850805.57895484543</v>
      </c>
      <c r="L32" s="26">
        <f t="shared" si="8"/>
        <v>842219.11246155226</v>
      </c>
      <c r="M32" s="26">
        <f t="shared" si="8"/>
        <v>833203.32264359412</v>
      </c>
      <c r="N32" s="26">
        <f t="shared" si="8"/>
        <v>823736.7433347383</v>
      </c>
      <c r="O32" s="26">
        <f t="shared" si="8"/>
        <v>813796.83506043954</v>
      </c>
      <c r="P32" s="26">
        <f>P23-P28-P29-P30-P31</f>
        <v>803359.93137242575</v>
      </c>
      <c r="Q32" s="26">
        <f t="shared" ref="Q32:V32" si="9">Q23-Q28-Q29-Q30-Q31</f>
        <v>792401.18250001152</v>
      </c>
      <c r="R32" s="26">
        <f t="shared" si="9"/>
        <v>780894.49618397653</v>
      </c>
      <c r="S32" s="26">
        <f t="shared" si="9"/>
        <v>768812.47555213957</v>
      </c>
      <c r="T32" s="26">
        <f t="shared" si="9"/>
        <v>756126.35388871096</v>
      </c>
      <c r="U32" s="26">
        <f t="shared" si="9"/>
        <v>742805.92614211095</v>
      </c>
      <c r="V32" s="26">
        <f t="shared" si="9"/>
        <v>728819.47700818093</v>
      </c>
      <c r="W32" s="9">
        <f>SUM(C32:V32)</f>
        <v>13215616.582037563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41"/>
  <sheetViews>
    <sheetView topLeftCell="O25" zoomScale="99" zoomScaleNormal="99" workbookViewId="0">
      <selection activeCell="C31" sqref="C31:V31"/>
    </sheetView>
  </sheetViews>
  <sheetFormatPr defaultRowHeight="15" x14ac:dyDescent="0.25"/>
  <cols>
    <col min="1" max="1" width="60.140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36</v>
      </c>
      <c r="D3" s="1"/>
    </row>
    <row r="4" spans="1:22" x14ac:dyDescent="0.25">
      <c r="A4" s="1" t="s">
        <v>38</v>
      </c>
      <c r="B4" s="2">
        <f>341.55*5</f>
        <v>1707.75</v>
      </c>
      <c r="C4" s="1" t="s">
        <v>61</v>
      </c>
      <c r="D4" s="1"/>
    </row>
    <row r="5" spans="1:22" x14ac:dyDescent="0.25">
      <c r="A5" s="23" t="s">
        <v>39</v>
      </c>
      <c r="B5" s="2"/>
      <c r="C5" s="1"/>
      <c r="D5" s="1"/>
    </row>
    <row r="6" spans="1:22" x14ac:dyDescent="0.25">
      <c r="A6" s="24" t="s">
        <v>40</v>
      </c>
      <c r="B6" s="2"/>
      <c r="C6" s="1"/>
      <c r="D6" s="1"/>
    </row>
    <row r="7" spans="1:22" x14ac:dyDescent="0.25">
      <c r="A7" s="3" t="s">
        <v>42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32</v>
      </c>
    </row>
    <row r="8" spans="1:22" x14ac:dyDescent="0.25">
      <c r="A8" s="24" t="s">
        <v>41</v>
      </c>
      <c r="B8" s="3"/>
      <c r="C8" s="1"/>
      <c r="D8" s="1"/>
    </row>
    <row r="9" spans="1:22" x14ac:dyDescent="0.25">
      <c r="A9" s="3" t="s">
        <v>42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32</v>
      </c>
    </row>
    <row r="10" spans="1:22" ht="22.15" customHeight="1" x14ac:dyDescent="0.25">
      <c r="A10" s="35" t="s">
        <v>56</v>
      </c>
      <c r="B10" s="3">
        <v>130000000</v>
      </c>
      <c r="C10" s="1" t="s">
        <v>32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5" t="s">
        <v>66</v>
      </c>
      <c r="B13" s="3">
        <v>10038585</v>
      </c>
      <c r="C13" s="1" t="s">
        <v>32</v>
      </c>
      <c r="D13" s="1"/>
      <c r="F13" s="36"/>
    </row>
    <row r="14" spans="1:22" ht="26.45" customHeight="1" x14ac:dyDescent="0.25">
      <c r="A14" s="1" t="s">
        <v>57</v>
      </c>
      <c r="B14" s="3">
        <v>20000000</v>
      </c>
      <c r="C14" s="1" t="s">
        <v>32</v>
      </c>
      <c r="D14" s="1"/>
      <c r="F14" s="36"/>
    </row>
    <row r="15" spans="1:22" ht="22.9" customHeight="1" x14ac:dyDescent="0.25">
      <c r="A15" s="1" t="s">
        <v>54</v>
      </c>
      <c r="B15" s="3">
        <v>300000</v>
      </c>
      <c r="C15" s="1" t="s">
        <v>43</v>
      </c>
      <c r="D15" s="1"/>
      <c r="F15" s="36"/>
    </row>
    <row r="16" spans="1:22" ht="21" customHeight="1" x14ac:dyDescent="0.25">
      <c r="A16" s="1" t="s">
        <v>46</v>
      </c>
      <c r="B16" s="41">
        <v>0.01</v>
      </c>
      <c r="C16" s="1" t="s">
        <v>45</v>
      </c>
      <c r="D16" s="1"/>
      <c r="F16" s="36"/>
    </row>
    <row r="17" spans="1:23" x14ac:dyDescent="0.25">
      <c r="A17" s="3" t="s">
        <v>47</v>
      </c>
      <c r="B17" s="41">
        <v>0.3</v>
      </c>
      <c r="C17" s="1" t="s">
        <v>48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51</v>
      </c>
      <c r="B23" s="6">
        <v>0</v>
      </c>
      <c r="C23" s="6">
        <f>((($B$4*$B$7*$F$7)-((($B$4*$B$7*$F$7)*10%))+((($B$4*$B$9)*$F$9)+((($B$4*$B$7)*$F$9)*10%))))</f>
        <v>1899980.4049033502</v>
      </c>
      <c r="D23" s="6">
        <f t="shared" ref="D23:V23" si="0">((($B$4*$B$7*$F$7)-((($B$4*$B$7*$F$7)*10%))+((($B$4*$B$9)*$F$9)+((($B$4*$B$7)*$F$9)*10%))))</f>
        <v>1899980.4049033502</v>
      </c>
      <c r="E23" s="6">
        <f t="shared" si="0"/>
        <v>1899980.4049033502</v>
      </c>
      <c r="F23" s="6">
        <f t="shared" si="0"/>
        <v>1899980.4049033502</v>
      </c>
      <c r="G23" s="6">
        <f t="shared" si="0"/>
        <v>1899980.4049033502</v>
      </c>
      <c r="H23" s="6">
        <f t="shared" si="0"/>
        <v>1899980.4049033502</v>
      </c>
      <c r="I23" s="6">
        <f t="shared" si="0"/>
        <v>1899980.4049033502</v>
      </c>
      <c r="J23" s="6">
        <f t="shared" si="0"/>
        <v>1899980.4049033502</v>
      </c>
      <c r="K23" s="6">
        <f t="shared" si="0"/>
        <v>1899980.4049033502</v>
      </c>
      <c r="L23" s="6">
        <f t="shared" si="0"/>
        <v>1899980.4049033502</v>
      </c>
      <c r="M23" s="6">
        <f t="shared" si="0"/>
        <v>1899980.4049033502</v>
      </c>
      <c r="N23" s="6">
        <f t="shared" si="0"/>
        <v>1899980.4049033502</v>
      </c>
      <c r="O23" s="6">
        <f t="shared" si="0"/>
        <v>1899980.4049033502</v>
      </c>
      <c r="P23" s="6">
        <f t="shared" si="0"/>
        <v>1899980.4049033502</v>
      </c>
      <c r="Q23" s="6">
        <f t="shared" si="0"/>
        <v>1899980.4049033502</v>
      </c>
      <c r="R23" s="6">
        <f t="shared" si="0"/>
        <v>1899980.4049033502</v>
      </c>
      <c r="S23" s="6">
        <f t="shared" si="0"/>
        <v>1899980.4049033502</v>
      </c>
      <c r="T23" s="6">
        <f t="shared" si="0"/>
        <v>1899980.4049033502</v>
      </c>
      <c r="U23" s="6">
        <f t="shared" si="0"/>
        <v>1899980.4049033502</v>
      </c>
      <c r="V23" s="6">
        <f t="shared" si="0"/>
        <v>1899980.4049033502</v>
      </c>
      <c r="W23" s="9">
        <f>SUM(B23:V23)</f>
        <v>37999608.098066993</v>
      </c>
    </row>
    <row r="24" spans="1:23" s="4" customFormat="1" x14ac:dyDescent="0.25">
      <c r="A24" s="5" t="s">
        <v>28</v>
      </c>
      <c r="B24" s="6">
        <f>B13</f>
        <v>10038585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10038585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49</v>
      </c>
      <c r="B26" s="10">
        <f>B13</f>
        <v>10038585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50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52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59</v>
      </c>
      <c r="B29" s="44">
        <f>-B13</f>
        <v>-10038585</v>
      </c>
      <c r="C29" s="32">
        <f>C23*0.8</f>
        <v>1519984.3239226802</v>
      </c>
      <c r="D29" s="32">
        <f t="shared" ref="D29:G29" si="3">D23*0.8</f>
        <v>1519984.3239226802</v>
      </c>
      <c r="E29" s="32">
        <f t="shared" si="3"/>
        <v>1519984.3239226802</v>
      </c>
      <c r="F29" s="32">
        <f t="shared" si="3"/>
        <v>1519984.3239226802</v>
      </c>
      <c r="G29" s="32">
        <f t="shared" si="3"/>
        <v>1519984.3239226802</v>
      </c>
      <c r="H29" s="32">
        <f>(H23*0.8*11/12)+(H23*0.5*1/12)</f>
        <v>1472484.8138000963</v>
      </c>
      <c r="I29" s="32">
        <f>I23*0.5</f>
        <v>949990.20245167508</v>
      </c>
      <c r="J29" s="32">
        <f t="shared" ref="J29:V29" si="4">J23*0.5</f>
        <v>949990.20245167508</v>
      </c>
      <c r="K29" s="32">
        <f t="shared" si="4"/>
        <v>949990.20245167508</v>
      </c>
      <c r="L29" s="32">
        <f t="shared" si="4"/>
        <v>949990.20245167508</v>
      </c>
      <c r="M29" s="32">
        <f t="shared" si="4"/>
        <v>949990.20245167508</v>
      </c>
      <c r="N29" s="32">
        <f t="shared" si="4"/>
        <v>949990.20245167508</v>
      </c>
      <c r="O29" s="32">
        <f t="shared" si="4"/>
        <v>949990.20245167508</v>
      </c>
      <c r="P29" s="32">
        <f t="shared" si="4"/>
        <v>949990.20245167508</v>
      </c>
      <c r="Q29" s="32">
        <f t="shared" si="4"/>
        <v>949990.20245167508</v>
      </c>
      <c r="R29" s="32">
        <f t="shared" si="4"/>
        <v>949990.20245167508</v>
      </c>
      <c r="S29" s="32">
        <f t="shared" si="4"/>
        <v>949990.20245167508</v>
      </c>
      <c r="T29" s="32">
        <f t="shared" si="4"/>
        <v>949990.20245167508</v>
      </c>
      <c r="U29" s="32">
        <f t="shared" si="4"/>
        <v>949990.20245167508</v>
      </c>
      <c r="V29" s="32">
        <f t="shared" si="4"/>
        <v>949990.20245167508</v>
      </c>
      <c r="W29" s="33">
        <f>SUM(B29:V29)</f>
        <v>12333684.267736947</v>
      </c>
    </row>
    <row r="30" spans="1:23" s="5" customFormat="1" x14ac:dyDescent="0.25">
      <c r="A30" s="5" t="s">
        <v>44</v>
      </c>
      <c r="B30" s="10">
        <v>0</v>
      </c>
      <c r="C30" s="8">
        <v>0</v>
      </c>
      <c r="D30" s="8">
        <v>0</v>
      </c>
      <c r="E30" s="42">
        <f>B24*1/100</f>
        <v>100385.85</v>
      </c>
      <c r="F30" s="42">
        <f>E30*1.05</f>
        <v>105405.14250000002</v>
      </c>
      <c r="G30" s="42">
        <f t="shared" ref="G30:V30" si="5">F30*1.05</f>
        <v>110675.39962500002</v>
      </c>
      <c r="H30" s="42">
        <f t="shared" si="5"/>
        <v>116209.16960625003</v>
      </c>
      <c r="I30" s="42">
        <f t="shared" si="5"/>
        <v>122019.62808656253</v>
      </c>
      <c r="J30" s="42">
        <f t="shared" si="5"/>
        <v>128120.60949089067</v>
      </c>
      <c r="K30" s="42">
        <f t="shared" si="5"/>
        <v>134526.6399654352</v>
      </c>
      <c r="L30" s="42">
        <f t="shared" si="5"/>
        <v>141252.97196370698</v>
      </c>
      <c r="M30" s="42">
        <f t="shared" si="5"/>
        <v>148315.62056189234</v>
      </c>
      <c r="N30" s="42">
        <f t="shared" si="5"/>
        <v>155731.40158998696</v>
      </c>
      <c r="O30" s="42">
        <f t="shared" si="5"/>
        <v>163517.97166948632</v>
      </c>
      <c r="P30" s="42">
        <f t="shared" si="5"/>
        <v>171693.87025296065</v>
      </c>
      <c r="Q30" s="42">
        <f t="shared" si="5"/>
        <v>180278.56376560871</v>
      </c>
      <c r="R30" s="42">
        <f t="shared" si="5"/>
        <v>189292.49195388914</v>
      </c>
      <c r="S30" s="42">
        <f t="shared" si="5"/>
        <v>198757.1165515836</v>
      </c>
      <c r="T30" s="42">
        <f t="shared" si="5"/>
        <v>208694.97237916279</v>
      </c>
      <c r="U30" s="42">
        <f t="shared" si="5"/>
        <v>219129.72099812093</v>
      </c>
      <c r="V30" s="42">
        <f t="shared" si="5"/>
        <v>230086.20704802699</v>
      </c>
      <c r="W30" s="9">
        <f>SUM(C30:V30)</f>
        <v>2824093.3480085633</v>
      </c>
    </row>
    <row r="31" spans="1:23" s="28" customFormat="1" x14ac:dyDescent="0.25">
      <c r="A31" s="28" t="s">
        <v>33</v>
      </c>
      <c r="B31" s="29"/>
      <c r="C31" s="29">
        <f>(C23-C28-C29)*0.2</f>
        <v>75999.216196133988</v>
      </c>
      <c r="D31" s="29">
        <f t="shared" ref="D31:V31" si="6">(D23-D28-D29)*0.2</f>
        <v>75999.216196133988</v>
      </c>
      <c r="E31" s="29">
        <f t="shared" si="6"/>
        <v>75999.216196133988</v>
      </c>
      <c r="F31" s="29">
        <f t="shared" si="6"/>
        <v>75999.216196133988</v>
      </c>
      <c r="G31" s="29">
        <f t="shared" si="6"/>
        <v>75999.216196133988</v>
      </c>
      <c r="H31" s="29">
        <f t="shared" si="6"/>
        <v>85499.11822065078</v>
      </c>
      <c r="I31" s="29">
        <f t="shared" si="6"/>
        <v>189998.04049033503</v>
      </c>
      <c r="J31" s="29">
        <f t="shared" si="6"/>
        <v>189998.04049033503</v>
      </c>
      <c r="K31" s="29">
        <f t="shared" si="6"/>
        <v>189998.04049033503</v>
      </c>
      <c r="L31" s="29">
        <f t="shared" si="6"/>
        <v>189998.04049033503</v>
      </c>
      <c r="M31" s="29">
        <f t="shared" si="6"/>
        <v>189998.04049033503</v>
      </c>
      <c r="N31" s="29">
        <f t="shared" si="6"/>
        <v>189998.04049033503</v>
      </c>
      <c r="O31" s="29">
        <f t="shared" si="6"/>
        <v>189998.04049033503</v>
      </c>
      <c r="P31" s="29">
        <f t="shared" si="6"/>
        <v>189998.04049033503</v>
      </c>
      <c r="Q31" s="29">
        <f t="shared" si="6"/>
        <v>189998.04049033503</v>
      </c>
      <c r="R31" s="29">
        <f t="shared" si="6"/>
        <v>189998.04049033503</v>
      </c>
      <c r="S31" s="29">
        <f t="shared" si="6"/>
        <v>189998.04049033503</v>
      </c>
      <c r="T31" s="29">
        <f t="shared" si="6"/>
        <v>189998.04049033503</v>
      </c>
      <c r="U31" s="29">
        <f t="shared" si="6"/>
        <v>189998.04049033503</v>
      </c>
      <c r="V31" s="29">
        <f t="shared" si="6"/>
        <v>189998.04049033503</v>
      </c>
      <c r="W31" s="9">
        <f>SUM(C31:V31)</f>
        <v>3125467.7660660106</v>
      </c>
    </row>
    <row r="32" spans="1:23" s="5" customFormat="1" x14ac:dyDescent="0.25">
      <c r="A32" s="25" t="s">
        <v>35</v>
      </c>
      <c r="B32" s="43">
        <f>-B27</f>
        <v>0</v>
      </c>
      <c r="C32" s="26">
        <f>C23-C28-C29-C30-C31</f>
        <v>303996.86478453595</v>
      </c>
      <c r="D32" s="26">
        <f t="shared" ref="D32:E32" si="7">D23-D28-D29-D30-D31</f>
        <v>303996.86478453595</v>
      </c>
      <c r="E32" s="26">
        <f t="shared" si="7"/>
        <v>203611.01478453598</v>
      </c>
      <c r="F32" s="26">
        <f>F23-F28-F29-F30-F31</f>
        <v>198591.72228453594</v>
      </c>
      <c r="G32" s="26">
        <f t="shared" ref="G32:O32" si="8">G23-G28-G29-G30-G31</f>
        <v>193321.46515953593</v>
      </c>
      <c r="H32" s="26">
        <f t="shared" si="8"/>
        <v>225787.30327635311</v>
      </c>
      <c r="I32" s="26">
        <f t="shared" si="8"/>
        <v>637972.53387477761</v>
      </c>
      <c r="J32" s="26">
        <f t="shared" si="8"/>
        <v>631871.55247044936</v>
      </c>
      <c r="K32" s="26">
        <f t="shared" si="8"/>
        <v>625465.52199590486</v>
      </c>
      <c r="L32" s="26">
        <f t="shared" si="8"/>
        <v>618739.18999763299</v>
      </c>
      <c r="M32" s="26">
        <f t="shared" si="8"/>
        <v>611676.54139944771</v>
      </c>
      <c r="N32" s="26">
        <f t="shared" si="8"/>
        <v>604260.76037135301</v>
      </c>
      <c r="O32" s="26">
        <f t="shared" si="8"/>
        <v>596474.19029185362</v>
      </c>
      <c r="P32" s="26">
        <f>P23-P28-P29-P30-P31</f>
        <v>588298.29170837929</v>
      </c>
      <c r="Q32" s="26">
        <f t="shared" ref="Q32:V32" si="9">Q23-Q28-Q29-Q30-Q31</f>
        <v>579713.59819573141</v>
      </c>
      <c r="R32" s="26">
        <f t="shared" si="9"/>
        <v>570699.67000745097</v>
      </c>
      <c r="S32" s="26">
        <f t="shared" si="9"/>
        <v>561235.04540975648</v>
      </c>
      <c r="T32" s="26">
        <f t="shared" si="9"/>
        <v>551297.18958217721</v>
      </c>
      <c r="U32" s="26">
        <f t="shared" si="9"/>
        <v>540862.44096321915</v>
      </c>
      <c r="V32" s="26">
        <f t="shared" si="9"/>
        <v>529905.95491331303</v>
      </c>
      <c r="W32" s="9">
        <f>SUM(C32:V32)</f>
        <v>9677777.7162554804</v>
      </c>
    </row>
    <row r="33" spans="1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25"/>
    <row r="36" spans="1:22" s="14" customFormat="1" x14ac:dyDescent="0.25">
      <c r="A36" s="16" t="s">
        <v>53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25">
      <c r="A37" s="11" t="s">
        <v>34</v>
      </c>
      <c r="B37" s="12">
        <f>NPV(0.05,B29:V29)</f>
        <v>4436250.001198289</v>
      </c>
      <c r="C37" s="18" t="e">
        <f>B37/B18</f>
        <v>#DIV/0!</v>
      </c>
      <c r="D37" t="s">
        <v>29</v>
      </c>
    </row>
    <row r="38" spans="1:22" x14ac:dyDescent="0.25">
      <c r="A38" s="11" t="s">
        <v>27</v>
      </c>
      <c r="B38" s="13">
        <f>IRR(B29:V29,0.05)</f>
        <v>0.10845710716957746</v>
      </c>
    </row>
    <row r="39" spans="1:22" x14ac:dyDescent="0.25">
      <c r="A39" s="11" t="s">
        <v>30</v>
      </c>
      <c r="B39" s="20">
        <v>5.92</v>
      </c>
      <c r="C39" s="19"/>
      <c r="D39" t="s">
        <v>31</v>
      </c>
      <c r="E39" t="s">
        <v>31</v>
      </c>
    </row>
    <row r="40" spans="1:22" x14ac:dyDescent="0.25">
      <c r="A40" s="16"/>
      <c r="B40" t="s">
        <v>31</v>
      </c>
    </row>
    <row r="41" spans="1:22" s="21" customFormat="1" x14ac:dyDescent="0.25">
      <c r="C41" s="27"/>
    </row>
  </sheetData>
  <pageMargins left="0.25" right="0.25" top="0.75" bottom="0.75" header="0.3" footer="0.3"/>
  <pageSetup paperSize="9" scale="3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4"/>
  <sheetViews>
    <sheetView topLeftCell="P31" zoomScale="99" zoomScaleNormal="99" workbookViewId="0">
      <selection activeCell="C31" sqref="C31:V31"/>
    </sheetView>
  </sheetViews>
  <sheetFormatPr defaultRowHeight="15" x14ac:dyDescent="0.25"/>
  <cols>
    <col min="1" max="1" width="60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36</v>
      </c>
      <c r="D3" s="1"/>
    </row>
    <row r="4" spans="1:22" x14ac:dyDescent="0.25">
      <c r="A4" s="1" t="s">
        <v>38</v>
      </c>
      <c r="B4" s="2">
        <f>408.48*5</f>
        <v>2042.4</v>
      </c>
      <c r="C4" s="1" t="s">
        <v>64</v>
      </c>
      <c r="D4" s="1"/>
    </row>
    <row r="5" spans="1:22" x14ac:dyDescent="0.25">
      <c r="A5" s="23" t="s">
        <v>39</v>
      </c>
      <c r="B5" s="2"/>
      <c r="C5" s="1"/>
      <c r="D5" s="1"/>
    </row>
    <row r="6" spans="1:22" x14ac:dyDescent="0.25">
      <c r="A6" s="24" t="s">
        <v>40</v>
      </c>
      <c r="B6" s="2"/>
      <c r="C6" s="1"/>
      <c r="D6" s="1"/>
    </row>
    <row r="7" spans="1:22" x14ac:dyDescent="0.25">
      <c r="A7" s="3" t="s">
        <v>42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32</v>
      </c>
    </row>
    <row r="8" spans="1:22" x14ac:dyDescent="0.25">
      <c r="A8" s="24" t="s">
        <v>41</v>
      </c>
      <c r="B8" s="3"/>
      <c r="C8" s="1"/>
      <c r="D8" s="1"/>
    </row>
    <row r="9" spans="1:22" x14ac:dyDescent="0.25">
      <c r="A9" s="3" t="s">
        <v>42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32</v>
      </c>
    </row>
    <row r="10" spans="1:22" ht="22.15" customHeight="1" x14ac:dyDescent="0.25">
      <c r="A10" s="35" t="s">
        <v>56</v>
      </c>
      <c r="B10" s="3">
        <v>130000000</v>
      </c>
      <c r="C10" s="1" t="s">
        <v>32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63</v>
      </c>
      <c r="B13" s="3">
        <v>12863054</v>
      </c>
      <c r="C13" s="1" t="s">
        <v>32</v>
      </c>
      <c r="D13" s="1"/>
      <c r="F13" s="36"/>
    </row>
    <row r="14" spans="1:22" ht="26.45" customHeight="1" x14ac:dyDescent="0.25">
      <c r="A14" s="1" t="s">
        <v>57</v>
      </c>
      <c r="B14" s="3">
        <v>20000000</v>
      </c>
      <c r="C14" s="1" t="s">
        <v>32</v>
      </c>
      <c r="D14" s="1"/>
      <c r="F14" s="36"/>
    </row>
    <row r="15" spans="1:22" ht="22.9" customHeight="1" x14ac:dyDescent="0.25">
      <c r="A15" s="1" t="s">
        <v>54</v>
      </c>
      <c r="B15" s="3">
        <v>300000</v>
      </c>
      <c r="C15" s="1" t="s">
        <v>43</v>
      </c>
      <c r="D15" s="1"/>
      <c r="F15" s="36"/>
    </row>
    <row r="16" spans="1:22" ht="21" customHeight="1" x14ac:dyDescent="0.25">
      <c r="A16" s="1" t="s">
        <v>46</v>
      </c>
      <c r="B16" s="41">
        <v>0.01</v>
      </c>
      <c r="C16" s="1" t="s">
        <v>45</v>
      </c>
      <c r="D16" s="1"/>
      <c r="F16" s="36"/>
    </row>
    <row r="17" spans="1:23" x14ac:dyDescent="0.25">
      <c r="A17" s="3" t="s">
        <v>47</v>
      </c>
      <c r="B17" s="41">
        <v>0.3</v>
      </c>
      <c r="C17" s="1" t="s">
        <v>48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51</v>
      </c>
      <c r="B23" s="6">
        <v>0</v>
      </c>
      <c r="C23" s="6">
        <f>((($B$4*$B$7*$F$7)-((($B$4*$B$7*$F$7)*10%))+((($B$4*$B$9)*$F$9)+((($B$4*$B$7)*$F$9)*10%))))</f>
        <v>2272299.7973793605</v>
      </c>
      <c r="D23" s="6">
        <f t="shared" ref="D23:V23" si="0">((($B$4*$B$7*$F$7)-((($B$4*$B$7*$F$7)*10%))+((($B$4*$B$9)*$F$9)+((($B$4*$B$7)*$F$9)*10%))))</f>
        <v>2272299.7973793605</v>
      </c>
      <c r="E23" s="6">
        <f t="shared" si="0"/>
        <v>2272299.7973793605</v>
      </c>
      <c r="F23" s="6">
        <f t="shared" si="0"/>
        <v>2272299.7973793605</v>
      </c>
      <c r="G23" s="6">
        <f t="shared" si="0"/>
        <v>2272299.7973793605</v>
      </c>
      <c r="H23" s="6">
        <f t="shared" si="0"/>
        <v>2272299.7973793605</v>
      </c>
      <c r="I23" s="6">
        <f t="shared" si="0"/>
        <v>2272299.7973793605</v>
      </c>
      <c r="J23" s="6">
        <f t="shared" si="0"/>
        <v>2272299.7973793605</v>
      </c>
      <c r="K23" s="6">
        <f t="shared" si="0"/>
        <v>2272299.7973793605</v>
      </c>
      <c r="L23" s="6">
        <f t="shared" si="0"/>
        <v>2272299.7973793605</v>
      </c>
      <c r="M23" s="6">
        <f t="shared" si="0"/>
        <v>2272299.7973793605</v>
      </c>
      <c r="N23" s="6">
        <f t="shared" si="0"/>
        <v>2272299.7973793605</v>
      </c>
      <c r="O23" s="6">
        <f t="shared" si="0"/>
        <v>2272299.7973793605</v>
      </c>
      <c r="P23" s="6">
        <f t="shared" si="0"/>
        <v>2272299.7973793605</v>
      </c>
      <c r="Q23" s="6">
        <f t="shared" si="0"/>
        <v>2272299.7973793605</v>
      </c>
      <c r="R23" s="6">
        <f t="shared" si="0"/>
        <v>2272299.7973793605</v>
      </c>
      <c r="S23" s="6">
        <f t="shared" si="0"/>
        <v>2272299.7973793605</v>
      </c>
      <c r="T23" s="6">
        <f t="shared" si="0"/>
        <v>2272299.7973793605</v>
      </c>
      <c r="U23" s="6">
        <f t="shared" si="0"/>
        <v>2272299.7973793605</v>
      </c>
      <c r="V23" s="6">
        <f t="shared" si="0"/>
        <v>2272299.7973793605</v>
      </c>
      <c r="W23" s="9">
        <f>SUM(B23:V23)</f>
        <v>45445995.9475872</v>
      </c>
    </row>
    <row r="24" spans="1:23" s="4" customFormat="1" x14ac:dyDescent="0.25">
      <c r="A24" s="5" t="s">
        <v>28</v>
      </c>
      <c r="B24" s="6">
        <f>B13</f>
        <v>12863054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12863054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66</v>
      </c>
      <c r="B26" s="10">
        <f>B13</f>
        <v>12863054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50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52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59</v>
      </c>
      <c r="B29" s="44">
        <f>-B13</f>
        <v>-12863054</v>
      </c>
      <c r="C29" s="32">
        <f>C23*0.8</f>
        <v>1817839.8379034884</v>
      </c>
      <c r="D29" s="32">
        <f t="shared" ref="D29:G29" si="3">D23*0.8</f>
        <v>1817839.8379034884</v>
      </c>
      <c r="E29" s="32">
        <f t="shared" si="3"/>
        <v>1817839.8379034884</v>
      </c>
      <c r="F29" s="32">
        <f t="shared" si="3"/>
        <v>1817839.8379034884</v>
      </c>
      <c r="G29" s="32">
        <f t="shared" si="3"/>
        <v>1817839.8379034884</v>
      </c>
      <c r="H29" s="32">
        <f>(H23*0.8*11/12)+(H23*0.5*1/12)</f>
        <v>1761032.3429690045</v>
      </c>
      <c r="I29" s="32">
        <f>I23*0.5</f>
        <v>1136149.8986896803</v>
      </c>
      <c r="J29" s="32">
        <f t="shared" ref="J29:V29" si="4">J23*0.5</f>
        <v>1136149.8986896803</v>
      </c>
      <c r="K29" s="32">
        <f t="shared" si="4"/>
        <v>1136149.8986896803</v>
      </c>
      <c r="L29" s="32">
        <f t="shared" si="4"/>
        <v>1136149.8986896803</v>
      </c>
      <c r="M29" s="32">
        <f t="shared" si="4"/>
        <v>1136149.8986896803</v>
      </c>
      <c r="N29" s="32">
        <f t="shared" si="4"/>
        <v>1136149.8986896803</v>
      </c>
      <c r="O29" s="32">
        <f t="shared" si="4"/>
        <v>1136149.8986896803</v>
      </c>
      <c r="P29" s="32">
        <f t="shared" si="4"/>
        <v>1136149.8986896803</v>
      </c>
      <c r="Q29" s="32">
        <f t="shared" si="4"/>
        <v>1136149.8986896803</v>
      </c>
      <c r="R29" s="32">
        <f t="shared" si="4"/>
        <v>1136149.8986896803</v>
      </c>
      <c r="S29" s="32">
        <f t="shared" si="4"/>
        <v>1136149.8986896803</v>
      </c>
      <c r="T29" s="32">
        <f t="shared" si="4"/>
        <v>1136149.8986896803</v>
      </c>
      <c r="U29" s="32">
        <f t="shared" si="4"/>
        <v>1136149.8986896803</v>
      </c>
      <c r="V29" s="32">
        <f t="shared" si="4"/>
        <v>1136149.8986896803</v>
      </c>
      <c r="W29" s="33">
        <f>SUM(B29:V29)</f>
        <v>13893276.114141967</v>
      </c>
    </row>
    <row r="30" spans="1:23" s="5" customFormat="1" x14ac:dyDescent="0.25">
      <c r="A30" s="5" t="s">
        <v>44</v>
      </c>
      <c r="B30" s="10">
        <v>0</v>
      </c>
      <c r="C30" s="8">
        <v>0</v>
      </c>
      <c r="D30" s="8">
        <v>0</v>
      </c>
      <c r="E30" s="42">
        <f>B24*1/100</f>
        <v>128630.54</v>
      </c>
      <c r="F30" s="42">
        <f>E30*1.05</f>
        <v>135062.06700000001</v>
      </c>
      <c r="G30" s="42">
        <f t="shared" ref="G30:V30" si="5">F30*1.05</f>
        <v>141815.17035000003</v>
      </c>
      <c r="H30" s="42">
        <f t="shared" si="5"/>
        <v>148905.92886750004</v>
      </c>
      <c r="I30" s="42">
        <f t="shared" si="5"/>
        <v>156351.22531087504</v>
      </c>
      <c r="J30" s="42">
        <f t="shared" si="5"/>
        <v>164168.78657641882</v>
      </c>
      <c r="K30" s="42">
        <f t="shared" si="5"/>
        <v>172377.22590523976</v>
      </c>
      <c r="L30" s="42">
        <f t="shared" si="5"/>
        <v>180996.08720050176</v>
      </c>
      <c r="M30" s="42">
        <f t="shared" si="5"/>
        <v>190045.89156052686</v>
      </c>
      <c r="N30" s="42">
        <f t="shared" si="5"/>
        <v>199548.1861385532</v>
      </c>
      <c r="O30" s="42">
        <f t="shared" si="5"/>
        <v>209525.59544548087</v>
      </c>
      <c r="P30" s="42">
        <f t="shared" si="5"/>
        <v>220001.87521775492</v>
      </c>
      <c r="Q30" s="42">
        <f t="shared" si="5"/>
        <v>231001.96897864266</v>
      </c>
      <c r="R30" s="42">
        <f t="shared" si="5"/>
        <v>242552.0674275748</v>
      </c>
      <c r="S30" s="42">
        <f t="shared" si="5"/>
        <v>254679.67079895356</v>
      </c>
      <c r="T30" s="42">
        <f t="shared" si="5"/>
        <v>267413.65433890128</v>
      </c>
      <c r="U30" s="42">
        <f t="shared" si="5"/>
        <v>280784.33705584635</v>
      </c>
      <c r="V30" s="42">
        <f t="shared" si="5"/>
        <v>294823.55390863866</v>
      </c>
      <c r="W30" s="9">
        <f>SUM(C30:V30)</f>
        <v>3618683.8320814082</v>
      </c>
    </row>
    <row r="31" spans="1:23" s="28" customFormat="1" x14ac:dyDescent="0.25">
      <c r="A31" s="28" t="s">
        <v>33</v>
      </c>
      <c r="B31" s="29"/>
      <c r="C31" s="29">
        <f>(C23-C28-C29)*0.2</f>
        <v>90891.991895174433</v>
      </c>
      <c r="D31" s="29">
        <f t="shared" ref="D31:V31" si="6">(D23-D28-D29)*0.2</f>
        <v>90891.991895174433</v>
      </c>
      <c r="E31" s="29">
        <f t="shared" si="6"/>
        <v>90891.991895174433</v>
      </c>
      <c r="F31" s="29">
        <f t="shared" si="6"/>
        <v>90891.991895174433</v>
      </c>
      <c r="G31" s="29">
        <f t="shared" si="6"/>
        <v>90891.991895174433</v>
      </c>
      <c r="H31" s="29">
        <f t="shared" si="6"/>
        <v>102253.4908820712</v>
      </c>
      <c r="I31" s="29">
        <f t="shared" si="6"/>
        <v>227229.97973793605</v>
      </c>
      <c r="J31" s="29">
        <f t="shared" si="6"/>
        <v>227229.97973793605</v>
      </c>
      <c r="K31" s="29">
        <f t="shared" si="6"/>
        <v>227229.97973793605</v>
      </c>
      <c r="L31" s="29">
        <f t="shared" si="6"/>
        <v>227229.97973793605</v>
      </c>
      <c r="M31" s="29">
        <f t="shared" si="6"/>
        <v>227229.97973793605</v>
      </c>
      <c r="N31" s="29">
        <f t="shared" si="6"/>
        <v>227229.97973793605</v>
      </c>
      <c r="O31" s="29">
        <f t="shared" si="6"/>
        <v>227229.97973793605</v>
      </c>
      <c r="P31" s="29">
        <f t="shared" si="6"/>
        <v>227229.97973793605</v>
      </c>
      <c r="Q31" s="29">
        <f t="shared" si="6"/>
        <v>227229.97973793605</v>
      </c>
      <c r="R31" s="29">
        <f t="shared" si="6"/>
        <v>227229.97973793605</v>
      </c>
      <c r="S31" s="29">
        <f t="shared" si="6"/>
        <v>227229.97973793605</v>
      </c>
      <c r="T31" s="29">
        <f t="shared" si="6"/>
        <v>227229.97973793605</v>
      </c>
      <c r="U31" s="29">
        <f t="shared" si="6"/>
        <v>227229.97973793605</v>
      </c>
      <c r="V31" s="29">
        <f t="shared" si="6"/>
        <v>227229.97973793605</v>
      </c>
      <c r="W31" s="9">
        <f>SUM(C31:V31)</f>
        <v>3737933.1666890481</v>
      </c>
    </row>
    <row r="32" spans="1:23" s="5" customFormat="1" x14ac:dyDescent="0.25">
      <c r="A32" s="25" t="s">
        <v>35</v>
      </c>
      <c r="B32" s="43">
        <f>-B27</f>
        <v>0</v>
      </c>
      <c r="C32" s="26">
        <f>C23-C28-C29-C30-C31</f>
        <v>363567.96758069767</v>
      </c>
      <c r="D32" s="26">
        <f t="shared" ref="D32:E32" si="7">D23-D28-D29-D30-D31</f>
        <v>363567.96758069767</v>
      </c>
      <c r="E32" s="26">
        <f t="shared" si="7"/>
        <v>234937.42758069769</v>
      </c>
      <c r="F32" s="26">
        <f>F23-F28-F29-F30-F31</f>
        <v>228505.90058069763</v>
      </c>
      <c r="G32" s="26">
        <f t="shared" ref="G32:O32" si="8">G23-G28-G29-G30-G31</f>
        <v>221752.79723069764</v>
      </c>
      <c r="H32" s="26">
        <f t="shared" si="8"/>
        <v>260108.03466078476</v>
      </c>
      <c r="I32" s="26">
        <f t="shared" si="8"/>
        <v>752568.69364086911</v>
      </c>
      <c r="J32" s="26">
        <f t="shared" si="8"/>
        <v>744751.13237532543</v>
      </c>
      <c r="K32" s="26">
        <f t="shared" si="8"/>
        <v>736542.6930465044</v>
      </c>
      <c r="L32" s="26">
        <f t="shared" si="8"/>
        <v>727923.83175124251</v>
      </c>
      <c r="M32" s="26">
        <f t="shared" si="8"/>
        <v>718874.02739121742</v>
      </c>
      <c r="N32" s="26">
        <f t="shared" si="8"/>
        <v>709371.73281319102</v>
      </c>
      <c r="O32" s="26">
        <f t="shared" si="8"/>
        <v>699394.32350626332</v>
      </c>
      <c r="P32" s="26">
        <f>P23-P28-P29-P30-P31</f>
        <v>688918.04373398935</v>
      </c>
      <c r="Q32" s="26">
        <f t="shared" ref="Q32:V32" si="9">Q23-Q28-Q29-Q30-Q31</f>
        <v>677917.94997310149</v>
      </c>
      <c r="R32" s="26">
        <f t="shared" si="9"/>
        <v>666367.85152416944</v>
      </c>
      <c r="S32" s="26">
        <f t="shared" si="9"/>
        <v>654240.24815279059</v>
      </c>
      <c r="T32" s="26">
        <f t="shared" si="9"/>
        <v>641506.26461284293</v>
      </c>
      <c r="U32" s="26">
        <f t="shared" si="9"/>
        <v>628135.58189589786</v>
      </c>
      <c r="V32" s="26">
        <f t="shared" si="9"/>
        <v>614096.36504310556</v>
      </c>
      <c r="W32" s="9">
        <f>SUM(C32:V32)</f>
        <v>11333048.834674781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1"/>
  <sheetViews>
    <sheetView topLeftCell="O31" zoomScale="99" zoomScaleNormal="99" workbookViewId="0">
      <selection activeCell="C31" sqref="C31:V31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36</v>
      </c>
      <c r="D3" s="1"/>
    </row>
    <row r="4" spans="1:22" x14ac:dyDescent="0.25">
      <c r="A4" s="1" t="s">
        <v>38</v>
      </c>
      <c r="B4" s="2">
        <f>110.4*5</f>
        <v>552</v>
      </c>
      <c r="C4" s="1" t="s">
        <v>65</v>
      </c>
      <c r="D4" s="1"/>
    </row>
    <row r="5" spans="1:22" x14ac:dyDescent="0.25">
      <c r="A5" s="23" t="s">
        <v>39</v>
      </c>
      <c r="B5" s="2"/>
      <c r="C5" s="1"/>
      <c r="D5" s="1"/>
    </row>
    <row r="6" spans="1:22" x14ac:dyDescent="0.25">
      <c r="A6" s="24" t="s">
        <v>40</v>
      </c>
      <c r="B6" s="2"/>
      <c r="C6" s="1"/>
      <c r="D6" s="1"/>
    </row>
    <row r="7" spans="1:22" x14ac:dyDescent="0.25">
      <c r="A7" s="3" t="s">
        <v>42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32</v>
      </c>
    </row>
    <row r="8" spans="1:22" x14ac:dyDescent="0.25">
      <c r="A8" s="24" t="s">
        <v>41</v>
      </c>
      <c r="B8" s="3"/>
      <c r="C8" s="1"/>
      <c r="D8" s="1"/>
    </row>
    <row r="9" spans="1:22" x14ac:dyDescent="0.25">
      <c r="A9" s="3" t="s">
        <v>42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32</v>
      </c>
    </row>
    <row r="10" spans="1:22" ht="22.15" customHeight="1" x14ac:dyDescent="0.25">
      <c r="A10" s="35" t="s">
        <v>56</v>
      </c>
      <c r="B10" s="3">
        <v>130000000</v>
      </c>
      <c r="C10" s="1" t="s">
        <v>32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67</v>
      </c>
      <c r="B13" s="3">
        <v>2838910</v>
      </c>
      <c r="C13" s="1" t="s">
        <v>32</v>
      </c>
      <c r="D13" s="1"/>
      <c r="F13" s="36"/>
    </row>
    <row r="14" spans="1:22" ht="26.45" customHeight="1" x14ac:dyDescent="0.25">
      <c r="A14" s="1" t="s">
        <v>57</v>
      </c>
      <c r="B14" s="3">
        <v>20000000</v>
      </c>
      <c r="C14" s="1" t="s">
        <v>32</v>
      </c>
      <c r="D14" s="1"/>
      <c r="F14" s="36"/>
    </row>
    <row r="15" spans="1:22" ht="22.9" customHeight="1" x14ac:dyDescent="0.25">
      <c r="A15" s="1" t="s">
        <v>54</v>
      </c>
      <c r="B15" s="3">
        <v>300000</v>
      </c>
      <c r="C15" s="1" t="s">
        <v>43</v>
      </c>
      <c r="D15" s="1"/>
      <c r="F15" s="36"/>
    </row>
    <row r="16" spans="1:22" ht="21" customHeight="1" x14ac:dyDescent="0.25">
      <c r="A16" s="1" t="s">
        <v>46</v>
      </c>
      <c r="B16" s="41">
        <v>0.01</v>
      </c>
      <c r="C16" s="1" t="s">
        <v>45</v>
      </c>
      <c r="D16" s="1"/>
      <c r="F16" s="36"/>
    </row>
    <row r="17" spans="1:23" x14ac:dyDescent="0.25">
      <c r="A17" s="3" t="s">
        <v>47</v>
      </c>
      <c r="B17" s="41">
        <v>0.3</v>
      </c>
      <c r="C17" s="1" t="s">
        <v>48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51</v>
      </c>
      <c r="B23" s="6">
        <v>0</v>
      </c>
      <c r="C23" s="6">
        <f>((($B$4*$B$7*$F$7)-((($B$4*$B$7*$F$7)*10%))+((($B$4*$B$9)*$F$9)+((($B$4*$B$7)*$F$9)*10%))))</f>
        <v>614135.0803728</v>
      </c>
      <c r="D23" s="6">
        <f t="shared" ref="D23:V23" si="0">((($B$4*$B$7*$F$7)-((($B$4*$B$7*$F$7)*10%))+((($B$4*$B$9)*$F$9)+((($B$4*$B$7)*$F$9)*10%))))</f>
        <v>614135.0803728</v>
      </c>
      <c r="E23" s="6">
        <f t="shared" si="0"/>
        <v>614135.0803728</v>
      </c>
      <c r="F23" s="6">
        <f t="shared" si="0"/>
        <v>614135.0803728</v>
      </c>
      <c r="G23" s="6">
        <f t="shared" si="0"/>
        <v>614135.0803728</v>
      </c>
      <c r="H23" s="6">
        <f t="shared" si="0"/>
        <v>614135.0803728</v>
      </c>
      <c r="I23" s="6">
        <f t="shared" si="0"/>
        <v>614135.0803728</v>
      </c>
      <c r="J23" s="6">
        <f t="shared" si="0"/>
        <v>614135.0803728</v>
      </c>
      <c r="K23" s="6">
        <f t="shared" si="0"/>
        <v>614135.0803728</v>
      </c>
      <c r="L23" s="6">
        <f t="shared" si="0"/>
        <v>614135.0803728</v>
      </c>
      <c r="M23" s="6">
        <f t="shared" si="0"/>
        <v>614135.0803728</v>
      </c>
      <c r="N23" s="6">
        <f t="shared" si="0"/>
        <v>614135.0803728</v>
      </c>
      <c r="O23" s="6">
        <f t="shared" si="0"/>
        <v>614135.0803728</v>
      </c>
      <c r="P23" s="6">
        <f t="shared" si="0"/>
        <v>614135.0803728</v>
      </c>
      <c r="Q23" s="6">
        <f t="shared" si="0"/>
        <v>614135.0803728</v>
      </c>
      <c r="R23" s="6">
        <f t="shared" si="0"/>
        <v>614135.0803728</v>
      </c>
      <c r="S23" s="6">
        <f t="shared" si="0"/>
        <v>614135.0803728</v>
      </c>
      <c r="T23" s="6">
        <f t="shared" si="0"/>
        <v>614135.0803728</v>
      </c>
      <c r="U23" s="6">
        <f t="shared" si="0"/>
        <v>614135.0803728</v>
      </c>
      <c r="V23" s="6">
        <f t="shared" si="0"/>
        <v>614135.0803728</v>
      </c>
      <c r="W23" s="9">
        <f>SUM(B23:V23)</f>
        <v>12282701.607455995</v>
      </c>
    </row>
    <row r="24" spans="1:23" s="4" customFormat="1" x14ac:dyDescent="0.25">
      <c r="A24" s="5" t="s">
        <v>28</v>
      </c>
      <c r="B24" s="6">
        <f>B13</f>
        <v>2838910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2838910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66</v>
      </c>
      <c r="B26" s="10">
        <f>B13</f>
        <v>2838910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50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52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59</v>
      </c>
      <c r="B29" s="44">
        <f>-B13</f>
        <v>-2838910</v>
      </c>
      <c r="C29" s="32">
        <f>C23*0.8</f>
        <v>491308.06429824</v>
      </c>
      <c r="D29" s="32">
        <f t="shared" ref="D29:G29" si="3">D23*0.8</f>
        <v>491308.06429824</v>
      </c>
      <c r="E29" s="32">
        <f t="shared" si="3"/>
        <v>491308.06429824</v>
      </c>
      <c r="F29" s="32">
        <f t="shared" si="3"/>
        <v>491308.06429824</v>
      </c>
      <c r="G29" s="32">
        <f t="shared" si="3"/>
        <v>491308.06429824</v>
      </c>
      <c r="H29" s="32">
        <f>(H23*0.8*11/12)+(H23*0.5*1/12)</f>
        <v>475954.68728891999</v>
      </c>
      <c r="I29" s="32">
        <f>I23*0.5</f>
        <v>307067.5401864</v>
      </c>
      <c r="J29" s="32">
        <f t="shared" ref="J29:V29" si="4">J23*0.5</f>
        <v>307067.5401864</v>
      </c>
      <c r="K29" s="32">
        <f t="shared" si="4"/>
        <v>307067.5401864</v>
      </c>
      <c r="L29" s="32">
        <f t="shared" si="4"/>
        <v>307067.5401864</v>
      </c>
      <c r="M29" s="32">
        <f t="shared" si="4"/>
        <v>307067.5401864</v>
      </c>
      <c r="N29" s="32">
        <f t="shared" si="4"/>
        <v>307067.5401864</v>
      </c>
      <c r="O29" s="32">
        <f t="shared" si="4"/>
        <v>307067.5401864</v>
      </c>
      <c r="P29" s="32">
        <f t="shared" si="4"/>
        <v>307067.5401864</v>
      </c>
      <c r="Q29" s="32">
        <f t="shared" si="4"/>
        <v>307067.5401864</v>
      </c>
      <c r="R29" s="32">
        <f t="shared" si="4"/>
        <v>307067.5401864</v>
      </c>
      <c r="S29" s="32">
        <f t="shared" si="4"/>
        <v>307067.5401864</v>
      </c>
      <c r="T29" s="32">
        <f t="shared" si="4"/>
        <v>307067.5401864</v>
      </c>
      <c r="U29" s="32">
        <f t="shared" si="4"/>
        <v>307067.5401864</v>
      </c>
      <c r="V29" s="32">
        <f t="shared" si="4"/>
        <v>307067.5401864</v>
      </c>
      <c r="W29" s="33">
        <f>SUM(B29:V29)</f>
        <v>4392530.5713897208</v>
      </c>
    </row>
    <row r="30" spans="1:23" s="5" customFormat="1" x14ac:dyDescent="0.25">
      <c r="A30" s="5" t="s">
        <v>44</v>
      </c>
      <c r="B30" s="10">
        <v>0</v>
      </c>
      <c r="C30" s="8">
        <v>0</v>
      </c>
      <c r="D30" s="8">
        <v>0</v>
      </c>
      <c r="E30" s="42">
        <f>B24*1/100</f>
        <v>28389.1</v>
      </c>
      <c r="F30" s="42">
        <f>E30*1.05</f>
        <v>29808.555</v>
      </c>
      <c r="G30" s="42">
        <f t="shared" ref="G30:V30" si="5">F30*1.05</f>
        <v>31298.982750000003</v>
      </c>
      <c r="H30" s="42">
        <f t="shared" si="5"/>
        <v>32863.931887500003</v>
      </c>
      <c r="I30" s="42">
        <f t="shared" si="5"/>
        <v>34507.128481875006</v>
      </c>
      <c r="J30" s="42">
        <f t="shared" si="5"/>
        <v>36232.484905968755</v>
      </c>
      <c r="K30" s="42">
        <f t="shared" si="5"/>
        <v>38044.109151267192</v>
      </c>
      <c r="L30" s="42">
        <f t="shared" si="5"/>
        <v>39946.314608830551</v>
      </c>
      <c r="M30" s="42">
        <f t="shared" si="5"/>
        <v>41943.63033927208</v>
      </c>
      <c r="N30" s="42">
        <f t="shared" si="5"/>
        <v>44040.811856235683</v>
      </c>
      <c r="O30" s="42">
        <f t="shared" si="5"/>
        <v>46242.852449047467</v>
      </c>
      <c r="P30" s="42">
        <f t="shared" si="5"/>
        <v>48554.995071499841</v>
      </c>
      <c r="Q30" s="42">
        <f t="shared" si="5"/>
        <v>50982.744825074835</v>
      </c>
      <c r="R30" s="42">
        <f t="shared" si="5"/>
        <v>53531.882066328581</v>
      </c>
      <c r="S30" s="42">
        <f t="shared" si="5"/>
        <v>56208.476169645015</v>
      </c>
      <c r="T30" s="42">
        <f t="shared" si="5"/>
        <v>59018.899978127265</v>
      </c>
      <c r="U30" s="42">
        <f t="shared" si="5"/>
        <v>61969.84497703363</v>
      </c>
      <c r="V30" s="42">
        <f t="shared" si="5"/>
        <v>65068.337225885312</v>
      </c>
      <c r="W30" s="9">
        <f>SUM(C30:V30)</f>
        <v>798653.08174359123</v>
      </c>
    </row>
    <row r="31" spans="1:23" s="28" customFormat="1" x14ac:dyDescent="0.25">
      <c r="A31" s="28" t="s">
        <v>33</v>
      </c>
      <c r="B31" s="29"/>
      <c r="C31" s="29">
        <f>(C23-C28-C29)*0.2</f>
        <v>24565.403214912003</v>
      </c>
      <c r="D31" s="29">
        <f t="shared" ref="D31:V31" si="6">(D23-D28-D29)*0.2</f>
        <v>24565.403214912003</v>
      </c>
      <c r="E31" s="29">
        <f t="shared" si="6"/>
        <v>24565.403214912003</v>
      </c>
      <c r="F31" s="29">
        <f t="shared" si="6"/>
        <v>24565.403214912003</v>
      </c>
      <c r="G31" s="29">
        <f t="shared" si="6"/>
        <v>24565.403214912003</v>
      </c>
      <c r="H31" s="29">
        <f t="shared" si="6"/>
        <v>27636.078616776005</v>
      </c>
      <c r="I31" s="29">
        <f t="shared" si="6"/>
        <v>61413.50803728</v>
      </c>
      <c r="J31" s="29">
        <f t="shared" si="6"/>
        <v>61413.50803728</v>
      </c>
      <c r="K31" s="29">
        <f t="shared" si="6"/>
        <v>61413.50803728</v>
      </c>
      <c r="L31" s="29">
        <f t="shared" si="6"/>
        <v>61413.50803728</v>
      </c>
      <c r="M31" s="29">
        <f t="shared" si="6"/>
        <v>61413.50803728</v>
      </c>
      <c r="N31" s="29">
        <f t="shared" si="6"/>
        <v>61413.50803728</v>
      </c>
      <c r="O31" s="29">
        <f t="shared" si="6"/>
        <v>61413.50803728</v>
      </c>
      <c r="P31" s="29">
        <f t="shared" si="6"/>
        <v>61413.50803728</v>
      </c>
      <c r="Q31" s="29">
        <f t="shared" si="6"/>
        <v>61413.50803728</v>
      </c>
      <c r="R31" s="29">
        <f t="shared" si="6"/>
        <v>61413.50803728</v>
      </c>
      <c r="S31" s="29">
        <f t="shared" si="6"/>
        <v>61413.50803728</v>
      </c>
      <c r="T31" s="29">
        <f t="shared" si="6"/>
        <v>61413.50803728</v>
      </c>
      <c r="U31" s="29">
        <f t="shared" si="6"/>
        <v>61413.50803728</v>
      </c>
      <c r="V31" s="29">
        <f t="shared" si="6"/>
        <v>61413.50803728</v>
      </c>
      <c r="W31" s="9">
        <f>SUM(C31:V31)</f>
        <v>1010252.2072132565</v>
      </c>
    </row>
    <row r="32" spans="1:23" s="5" customFormat="1" x14ac:dyDescent="0.25">
      <c r="A32" s="25" t="s">
        <v>35</v>
      </c>
      <c r="B32" s="43">
        <f>-B27</f>
        <v>0</v>
      </c>
      <c r="C32" s="26">
        <f>C23-C28-C29-C30-C31</f>
        <v>98261.612859647998</v>
      </c>
      <c r="D32" s="26">
        <f t="shared" ref="D32:E32" si="7">D23-D28-D29-D30-D31</f>
        <v>98261.612859647998</v>
      </c>
      <c r="E32" s="26">
        <f t="shared" si="7"/>
        <v>69872.512859647992</v>
      </c>
      <c r="F32" s="26">
        <f>F23-F28-F29-F30-F31</f>
        <v>68453.057859648005</v>
      </c>
      <c r="G32" s="26">
        <f t="shared" ref="G32:O32" si="8">G23-G28-G29-G30-G31</f>
        <v>66962.630109648002</v>
      </c>
      <c r="H32" s="26">
        <f t="shared" si="8"/>
        <v>77680.382579604004</v>
      </c>
      <c r="I32" s="26">
        <f t="shared" si="8"/>
        <v>211146.903667245</v>
      </c>
      <c r="J32" s="26">
        <f t="shared" si="8"/>
        <v>209421.54724315123</v>
      </c>
      <c r="K32" s="26">
        <f t="shared" si="8"/>
        <v>207609.92299785279</v>
      </c>
      <c r="L32" s="26">
        <f t="shared" si="8"/>
        <v>205707.71754028945</v>
      </c>
      <c r="M32" s="26">
        <f t="shared" si="8"/>
        <v>203710.40180984791</v>
      </c>
      <c r="N32" s="26">
        <f t="shared" si="8"/>
        <v>201613.22029288433</v>
      </c>
      <c r="O32" s="26">
        <f t="shared" si="8"/>
        <v>199411.17970007253</v>
      </c>
      <c r="P32" s="26">
        <f>P23-P28-P29-P30-P31</f>
        <v>197099.03707762016</v>
      </c>
      <c r="Q32" s="26">
        <f t="shared" ref="Q32:V32" si="9">Q23-Q28-Q29-Q30-Q31</f>
        <v>194671.28732404517</v>
      </c>
      <c r="R32" s="26">
        <f t="shared" si="9"/>
        <v>192122.15008279143</v>
      </c>
      <c r="S32" s="26">
        <f t="shared" si="9"/>
        <v>189445.55597947497</v>
      </c>
      <c r="T32" s="26">
        <f t="shared" si="9"/>
        <v>186635.13217099273</v>
      </c>
      <c r="U32" s="26">
        <f t="shared" si="9"/>
        <v>183684.18717208639</v>
      </c>
      <c r="V32" s="26">
        <f t="shared" si="9"/>
        <v>180585.6949232347</v>
      </c>
      <c r="W32" s="9">
        <f>SUM(C32:V32)</f>
        <v>3242355.7471094332</v>
      </c>
    </row>
    <row r="33" spans="1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25"/>
    <row r="36" spans="1:22" s="14" customFormat="1" x14ac:dyDescent="0.25">
      <c r="A36" s="16" t="s">
        <v>53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25">
      <c r="A37" s="11" t="s">
        <v>34</v>
      </c>
      <c r="B37" s="12">
        <f>NPV(0.05,B29:V29)</f>
        <v>1820496.6814840063</v>
      </c>
      <c r="C37" s="18" t="e">
        <f>B37/B18</f>
        <v>#DIV/0!</v>
      </c>
      <c r="D37" t="s">
        <v>29</v>
      </c>
    </row>
    <row r="38" spans="1:22" x14ac:dyDescent="0.25">
      <c r="A38" s="11" t="s">
        <v>27</v>
      </c>
      <c r="B38" s="13">
        <f>IRR(B29:V29,0.05)</f>
        <v>0.13320592191107639</v>
      </c>
    </row>
    <row r="39" spans="1:22" x14ac:dyDescent="0.25">
      <c r="A39" s="11" t="s">
        <v>30</v>
      </c>
      <c r="B39" s="20">
        <v>5.92</v>
      </c>
      <c r="C39" s="19"/>
      <c r="D39" t="s">
        <v>31</v>
      </c>
      <c r="E39" t="s">
        <v>31</v>
      </c>
    </row>
    <row r="40" spans="1:22" x14ac:dyDescent="0.25">
      <c r="A40" s="16"/>
      <c r="B40" t="s">
        <v>31</v>
      </c>
    </row>
    <row r="41" spans="1:22" s="21" customFormat="1" x14ac:dyDescent="0.25">
      <c r="C41" s="27"/>
    </row>
  </sheetData>
  <pageMargins left="0.25" right="0.25" top="0.75" bottom="0.75" header="0.3" footer="0.3"/>
  <pageSetup paperSize="9" scale="3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4"/>
  <sheetViews>
    <sheetView topLeftCell="P31" zoomScale="99" zoomScaleNormal="99" workbookViewId="0">
      <selection activeCell="U31" sqref="U31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36</v>
      </c>
      <c r="D3" s="1"/>
    </row>
    <row r="4" spans="1:22" x14ac:dyDescent="0.25">
      <c r="A4" s="1" t="s">
        <v>38</v>
      </c>
      <c r="B4" s="2">
        <f>408.48*5</f>
        <v>2042.4</v>
      </c>
      <c r="C4" s="1" t="s">
        <v>64</v>
      </c>
      <c r="D4" s="1"/>
    </row>
    <row r="5" spans="1:22" x14ac:dyDescent="0.25">
      <c r="A5" s="23" t="s">
        <v>39</v>
      </c>
      <c r="B5" s="2"/>
      <c r="C5" s="1"/>
      <c r="D5" s="1"/>
    </row>
    <row r="6" spans="1:22" x14ac:dyDescent="0.25">
      <c r="A6" s="24" t="s">
        <v>40</v>
      </c>
      <c r="B6" s="2"/>
      <c r="C6" s="1"/>
      <c r="D6" s="1"/>
    </row>
    <row r="7" spans="1:22" x14ac:dyDescent="0.25">
      <c r="A7" s="3" t="s">
        <v>42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32</v>
      </c>
    </row>
    <row r="8" spans="1:22" x14ac:dyDescent="0.25">
      <c r="A8" s="24" t="s">
        <v>41</v>
      </c>
      <c r="B8" s="3"/>
      <c r="C8" s="1"/>
      <c r="D8" s="1"/>
    </row>
    <row r="9" spans="1:22" x14ac:dyDescent="0.25">
      <c r="A9" s="3" t="s">
        <v>42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32</v>
      </c>
    </row>
    <row r="10" spans="1:22" ht="22.15" customHeight="1" x14ac:dyDescent="0.25">
      <c r="A10" s="35" t="s">
        <v>56</v>
      </c>
      <c r="B10" s="3">
        <v>130000000</v>
      </c>
      <c r="C10" s="1" t="s">
        <v>32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68</v>
      </c>
      <c r="B13" s="3">
        <v>12863054</v>
      </c>
      <c r="C13" s="1" t="s">
        <v>32</v>
      </c>
      <c r="D13" s="1"/>
      <c r="F13" s="36"/>
    </row>
    <row r="14" spans="1:22" ht="26.45" customHeight="1" x14ac:dyDescent="0.25">
      <c r="A14" s="1" t="s">
        <v>57</v>
      </c>
      <c r="B14" s="3">
        <v>20000000</v>
      </c>
      <c r="C14" s="1" t="s">
        <v>32</v>
      </c>
      <c r="D14" s="1"/>
      <c r="F14" s="36"/>
    </row>
    <row r="15" spans="1:22" ht="22.9" customHeight="1" x14ac:dyDescent="0.25">
      <c r="A15" s="1" t="s">
        <v>54</v>
      </c>
      <c r="B15" s="3">
        <v>300000</v>
      </c>
      <c r="C15" s="1" t="s">
        <v>43</v>
      </c>
      <c r="D15" s="1"/>
      <c r="F15" s="36"/>
    </row>
    <row r="16" spans="1:22" ht="21" customHeight="1" x14ac:dyDescent="0.25">
      <c r="A16" s="1" t="s">
        <v>46</v>
      </c>
      <c r="B16" s="41">
        <v>0.01</v>
      </c>
      <c r="C16" s="1" t="s">
        <v>45</v>
      </c>
      <c r="D16" s="1"/>
      <c r="F16" s="36"/>
    </row>
    <row r="17" spans="1:23" x14ac:dyDescent="0.25">
      <c r="A17" s="3" t="s">
        <v>47</v>
      </c>
      <c r="B17" s="41">
        <v>0.3</v>
      </c>
      <c r="C17" s="1" t="s">
        <v>48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51</v>
      </c>
      <c r="B23" s="6">
        <v>0</v>
      </c>
      <c r="C23" s="6">
        <f>((($B$4*$B$7*$F$7)-((($B$4*$B$7*$F$7)*10%))+((($B$4*$B$9)*$F$9)+((($B$4*$B$7)*$F$9)*10%))))</f>
        <v>2272299.7973793605</v>
      </c>
      <c r="D23" s="6">
        <f t="shared" ref="D23:V23" si="0">((($B$4*$B$7*$F$7)-((($B$4*$B$7*$F$7)*10%))+((($B$4*$B$9)*$F$9)+((($B$4*$B$7)*$F$9)*10%))))</f>
        <v>2272299.7973793605</v>
      </c>
      <c r="E23" s="6">
        <f t="shared" si="0"/>
        <v>2272299.7973793605</v>
      </c>
      <c r="F23" s="6">
        <f t="shared" si="0"/>
        <v>2272299.7973793605</v>
      </c>
      <c r="G23" s="6">
        <f t="shared" si="0"/>
        <v>2272299.7973793605</v>
      </c>
      <c r="H23" s="6">
        <f t="shared" si="0"/>
        <v>2272299.7973793605</v>
      </c>
      <c r="I23" s="6">
        <f t="shared" si="0"/>
        <v>2272299.7973793605</v>
      </c>
      <c r="J23" s="6">
        <f t="shared" si="0"/>
        <v>2272299.7973793605</v>
      </c>
      <c r="K23" s="6">
        <f t="shared" si="0"/>
        <v>2272299.7973793605</v>
      </c>
      <c r="L23" s="6">
        <f t="shared" si="0"/>
        <v>2272299.7973793605</v>
      </c>
      <c r="M23" s="6">
        <f t="shared" si="0"/>
        <v>2272299.7973793605</v>
      </c>
      <c r="N23" s="6">
        <f t="shared" si="0"/>
        <v>2272299.7973793605</v>
      </c>
      <c r="O23" s="6">
        <f t="shared" si="0"/>
        <v>2272299.7973793605</v>
      </c>
      <c r="P23" s="6">
        <f t="shared" si="0"/>
        <v>2272299.7973793605</v>
      </c>
      <c r="Q23" s="6">
        <f t="shared" si="0"/>
        <v>2272299.7973793605</v>
      </c>
      <c r="R23" s="6">
        <f t="shared" si="0"/>
        <v>2272299.7973793605</v>
      </c>
      <c r="S23" s="6">
        <f t="shared" si="0"/>
        <v>2272299.7973793605</v>
      </c>
      <c r="T23" s="6">
        <f t="shared" si="0"/>
        <v>2272299.7973793605</v>
      </c>
      <c r="U23" s="6">
        <f t="shared" si="0"/>
        <v>2272299.7973793605</v>
      </c>
      <c r="V23" s="6">
        <f t="shared" si="0"/>
        <v>2272299.7973793605</v>
      </c>
      <c r="W23" s="9">
        <f>SUM(B23:V23)</f>
        <v>45445995.9475872</v>
      </c>
    </row>
    <row r="24" spans="1:23" s="4" customFormat="1" x14ac:dyDescent="0.25">
      <c r="A24" s="5" t="s">
        <v>28</v>
      </c>
      <c r="B24" s="6">
        <f>B13</f>
        <v>12863054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12863054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66</v>
      </c>
      <c r="B26" s="10">
        <f>B13</f>
        <v>12863054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50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52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59</v>
      </c>
      <c r="B29" s="44">
        <f>-B13</f>
        <v>-12863054</v>
      </c>
      <c r="C29" s="32">
        <f>C23*0.8</f>
        <v>1817839.8379034884</v>
      </c>
      <c r="D29" s="32">
        <f t="shared" ref="D29:G29" si="3">D23*0.8</f>
        <v>1817839.8379034884</v>
      </c>
      <c r="E29" s="32">
        <f t="shared" si="3"/>
        <v>1817839.8379034884</v>
      </c>
      <c r="F29" s="32">
        <f t="shared" si="3"/>
        <v>1817839.8379034884</v>
      </c>
      <c r="G29" s="32">
        <f t="shared" si="3"/>
        <v>1817839.8379034884</v>
      </c>
      <c r="H29" s="32">
        <f>(H23*0.8*11/12)+(H23*0.5*1/12)</f>
        <v>1761032.3429690045</v>
      </c>
      <c r="I29" s="32">
        <f>I23*0.5</f>
        <v>1136149.8986896803</v>
      </c>
      <c r="J29" s="32">
        <f t="shared" ref="J29:V29" si="4">J23*0.5</f>
        <v>1136149.8986896803</v>
      </c>
      <c r="K29" s="32">
        <f t="shared" si="4"/>
        <v>1136149.8986896803</v>
      </c>
      <c r="L29" s="32">
        <f t="shared" si="4"/>
        <v>1136149.8986896803</v>
      </c>
      <c r="M29" s="32">
        <f t="shared" si="4"/>
        <v>1136149.8986896803</v>
      </c>
      <c r="N29" s="32">
        <f t="shared" si="4"/>
        <v>1136149.8986896803</v>
      </c>
      <c r="O29" s="32">
        <f t="shared" si="4"/>
        <v>1136149.8986896803</v>
      </c>
      <c r="P29" s="32">
        <f t="shared" si="4"/>
        <v>1136149.8986896803</v>
      </c>
      <c r="Q29" s="32">
        <f t="shared" si="4"/>
        <v>1136149.8986896803</v>
      </c>
      <c r="R29" s="32">
        <f t="shared" si="4"/>
        <v>1136149.8986896803</v>
      </c>
      <c r="S29" s="32">
        <f t="shared" si="4"/>
        <v>1136149.8986896803</v>
      </c>
      <c r="T29" s="32">
        <f t="shared" si="4"/>
        <v>1136149.8986896803</v>
      </c>
      <c r="U29" s="32">
        <f t="shared" si="4"/>
        <v>1136149.8986896803</v>
      </c>
      <c r="V29" s="32">
        <f t="shared" si="4"/>
        <v>1136149.8986896803</v>
      </c>
      <c r="W29" s="33">
        <f>SUM(B29:V29)</f>
        <v>13893276.114141967</v>
      </c>
    </row>
    <row r="30" spans="1:23" s="5" customFormat="1" x14ac:dyDescent="0.25">
      <c r="A30" s="5" t="s">
        <v>44</v>
      </c>
      <c r="B30" s="10">
        <v>0</v>
      </c>
      <c r="C30" s="8">
        <v>0</v>
      </c>
      <c r="D30" s="8">
        <v>0</v>
      </c>
      <c r="E30" s="42">
        <f>B24*1/100</f>
        <v>128630.54</v>
      </c>
      <c r="F30" s="42">
        <f>E30*1.05</f>
        <v>135062.06700000001</v>
      </c>
      <c r="G30" s="42">
        <f t="shared" ref="G30:V30" si="5">F30*1.05</f>
        <v>141815.17035000003</v>
      </c>
      <c r="H30" s="42">
        <f t="shared" si="5"/>
        <v>148905.92886750004</v>
      </c>
      <c r="I30" s="42">
        <f t="shared" si="5"/>
        <v>156351.22531087504</v>
      </c>
      <c r="J30" s="42">
        <f t="shared" si="5"/>
        <v>164168.78657641882</v>
      </c>
      <c r="K30" s="42">
        <f t="shared" si="5"/>
        <v>172377.22590523976</v>
      </c>
      <c r="L30" s="42">
        <f t="shared" si="5"/>
        <v>180996.08720050176</v>
      </c>
      <c r="M30" s="42">
        <f t="shared" si="5"/>
        <v>190045.89156052686</v>
      </c>
      <c r="N30" s="42">
        <f t="shared" si="5"/>
        <v>199548.1861385532</v>
      </c>
      <c r="O30" s="42">
        <f t="shared" si="5"/>
        <v>209525.59544548087</v>
      </c>
      <c r="P30" s="42">
        <f t="shared" si="5"/>
        <v>220001.87521775492</v>
      </c>
      <c r="Q30" s="42">
        <f t="shared" si="5"/>
        <v>231001.96897864266</v>
      </c>
      <c r="R30" s="42">
        <f t="shared" si="5"/>
        <v>242552.0674275748</v>
      </c>
      <c r="S30" s="42">
        <f t="shared" si="5"/>
        <v>254679.67079895356</v>
      </c>
      <c r="T30" s="42">
        <f t="shared" si="5"/>
        <v>267413.65433890128</v>
      </c>
      <c r="U30" s="42">
        <f t="shared" si="5"/>
        <v>280784.33705584635</v>
      </c>
      <c r="V30" s="42">
        <f t="shared" si="5"/>
        <v>294823.55390863866</v>
      </c>
      <c r="W30" s="9">
        <f>SUM(C30:V30)</f>
        <v>3618683.8320814082</v>
      </c>
    </row>
    <row r="31" spans="1:23" s="28" customFormat="1" x14ac:dyDescent="0.25">
      <c r="A31" s="28" t="s">
        <v>33</v>
      </c>
      <c r="B31" s="29"/>
      <c r="C31" s="29">
        <f>(C23-C28-C29)*0.2</f>
        <v>90891.991895174433</v>
      </c>
      <c r="D31" s="29">
        <f t="shared" ref="D31:V31" si="6">(D23-D28-D29)*0.2</f>
        <v>90891.991895174433</v>
      </c>
      <c r="E31" s="29">
        <f t="shared" si="6"/>
        <v>90891.991895174433</v>
      </c>
      <c r="F31" s="29">
        <f t="shared" si="6"/>
        <v>90891.991895174433</v>
      </c>
      <c r="G31" s="29">
        <f t="shared" si="6"/>
        <v>90891.991895174433</v>
      </c>
      <c r="H31" s="29">
        <f t="shared" si="6"/>
        <v>102253.4908820712</v>
      </c>
      <c r="I31" s="29">
        <f t="shared" si="6"/>
        <v>227229.97973793605</v>
      </c>
      <c r="J31" s="29">
        <f t="shared" si="6"/>
        <v>227229.97973793605</v>
      </c>
      <c r="K31" s="29">
        <f t="shared" si="6"/>
        <v>227229.97973793605</v>
      </c>
      <c r="L31" s="29">
        <f t="shared" si="6"/>
        <v>227229.97973793605</v>
      </c>
      <c r="M31" s="29">
        <f t="shared" si="6"/>
        <v>227229.97973793605</v>
      </c>
      <c r="N31" s="29">
        <f t="shared" si="6"/>
        <v>227229.97973793605</v>
      </c>
      <c r="O31" s="29">
        <f t="shared" si="6"/>
        <v>227229.97973793605</v>
      </c>
      <c r="P31" s="29">
        <f t="shared" si="6"/>
        <v>227229.97973793605</v>
      </c>
      <c r="Q31" s="29">
        <f t="shared" si="6"/>
        <v>227229.97973793605</v>
      </c>
      <c r="R31" s="29">
        <f t="shared" si="6"/>
        <v>227229.97973793605</v>
      </c>
      <c r="S31" s="29">
        <f t="shared" si="6"/>
        <v>227229.97973793605</v>
      </c>
      <c r="T31" s="29">
        <f t="shared" si="6"/>
        <v>227229.97973793605</v>
      </c>
      <c r="U31" s="29">
        <f t="shared" si="6"/>
        <v>227229.97973793605</v>
      </c>
      <c r="V31" s="29">
        <f t="shared" si="6"/>
        <v>227229.97973793605</v>
      </c>
      <c r="W31" s="9">
        <f>SUM(C31:V31)</f>
        <v>3737933.1666890481</v>
      </c>
    </row>
    <row r="32" spans="1:23" s="5" customFormat="1" x14ac:dyDescent="0.25">
      <c r="A32" s="25" t="s">
        <v>35</v>
      </c>
      <c r="B32" s="43">
        <f>-B27</f>
        <v>0</v>
      </c>
      <c r="C32" s="26">
        <f>C23-C28-C29-C30-C31</f>
        <v>363567.96758069767</v>
      </c>
      <c r="D32" s="26">
        <f t="shared" ref="D32:E32" si="7">D23-D28-D29-D30-D31</f>
        <v>363567.96758069767</v>
      </c>
      <c r="E32" s="26">
        <f t="shared" si="7"/>
        <v>234937.42758069769</v>
      </c>
      <c r="F32" s="26">
        <f>F23-F28-F29-F30-F31</f>
        <v>228505.90058069763</v>
      </c>
      <c r="G32" s="26">
        <f t="shared" ref="G32:O32" si="8">G23-G28-G29-G30-G31</f>
        <v>221752.79723069764</v>
      </c>
      <c r="H32" s="26">
        <f t="shared" si="8"/>
        <v>260108.03466078476</v>
      </c>
      <c r="I32" s="26">
        <f t="shared" si="8"/>
        <v>752568.69364086911</v>
      </c>
      <c r="J32" s="26">
        <f t="shared" si="8"/>
        <v>744751.13237532543</v>
      </c>
      <c r="K32" s="26">
        <f t="shared" si="8"/>
        <v>736542.6930465044</v>
      </c>
      <c r="L32" s="26">
        <f t="shared" si="8"/>
        <v>727923.83175124251</v>
      </c>
      <c r="M32" s="26">
        <f t="shared" si="8"/>
        <v>718874.02739121742</v>
      </c>
      <c r="N32" s="26">
        <f t="shared" si="8"/>
        <v>709371.73281319102</v>
      </c>
      <c r="O32" s="26">
        <f t="shared" si="8"/>
        <v>699394.32350626332</v>
      </c>
      <c r="P32" s="26">
        <f>P23-P28-P29-P30-P31</f>
        <v>688918.04373398935</v>
      </c>
      <c r="Q32" s="26">
        <f t="shared" ref="Q32:V32" si="9">Q23-Q28-Q29-Q30-Q31</f>
        <v>677917.94997310149</v>
      </c>
      <c r="R32" s="26">
        <f t="shared" si="9"/>
        <v>666367.85152416944</v>
      </c>
      <c r="S32" s="26">
        <f t="shared" si="9"/>
        <v>654240.24815279059</v>
      </c>
      <c r="T32" s="26">
        <f t="shared" si="9"/>
        <v>641506.26461284293</v>
      </c>
      <c r="U32" s="26">
        <f t="shared" si="9"/>
        <v>628135.58189589786</v>
      </c>
      <c r="V32" s="26">
        <f t="shared" si="9"/>
        <v>614096.36504310556</v>
      </c>
      <c r="W32" s="9">
        <f>SUM(C32:V32)</f>
        <v>11333048.834674781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34"/>
  <sheetViews>
    <sheetView topLeftCell="B19" zoomScale="99" zoomScaleNormal="99" workbookViewId="0">
      <selection activeCell="D31" sqref="D31:V31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36</v>
      </c>
      <c r="D3" s="1"/>
    </row>
    <row r="4" spans="1:22" x14ac:dyDescent="0.25">
      <c r="A4" s="1" t="s">
        <v>38</v>
      </c>
      <c r="B4" s="2">
        <f>139.38*5</f>
        <v>696.9</v>
      </c>
      <c r="C4" s="1" t="s">
        <v>70</v>
      </c>
      <c r="D4" s="1"/>
    </row>
    <row r="5" spans="1:22" x14ac:dyDescent="0.25">
      <c r="A5" s="23" t="s">
        <v>39</v>
      </c>
      <c r="B5" s="2"/>
      <c r="C5" s="1"/>
      <c r="D5" s="1"/>
    </row>
    <row r="6" spans="1:22" x14ac:dyDescent="0.25">
      <c r="A6" s="24" t="s">
        <v>40</v>
      </c>
      <c r="B6" s="2"/>
      <c r="C6" s="1"/>
      <c r="D6" s="1"/>
    </row>
    <row r="7" spans="1:22" x14ac:dyDescent="0.25">
      <c r="A7" s="3" t="s">
        <v>42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32</v>
      </c>
    </row>
    <row r="8" spans="1:22" x14ac:dyDescent="0.25">
      <c r="A8" s="24" t="s">
        <v>41</v>
      </c>
      <c r="B8" s="3"/>
      <c r="C8" s="1"/>
      <c r="D8" s="1"/>
    </row>
    <row r="9" spans="1:22" x14ac:dyDescent="0.25">
      <c r="A9" s="3" t="s">
        <v>42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32</v>
      </c>
    </row>
    <row r="10" spans="1:22" ht="22.15" customHeight="1" x14ac:dyDescent="0.25">
      <c r="A10" s="35" t="s">
        <v>56</v>
      </c>
      <c r="B10" s="3">
        <v>130000000</v>
      </c>
      <c r="C10" s="1" t="s">
        <v>32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69</v>
      </c>
      <c r="B13" s="3">
        <v>3368224</v>
      </c>
      <c r="C13" s="1" t="s">
        <v>32</v>
      </c>
      <c r="D13" s="1"/>
      <c r="F13" s="36"/>
    </row>
    <row r="14" spans="1:22" ht="26.45" customHeight="1" x14ac:dyDescent="0.25">
      <c r="A14" s="1" t="s">
        <v>57</v>
      </c>
      <c r="B14" s="3">
        <v>20000000</v>
      </c>
      <c r="C14" s="1" t="s">
        <v>32</v>
      </c>
      <c r="D14" s="1"/>
      <c r="F14" s="36"/>
    </row>
    <row r="15" spans="1:22" ht="22.9" customHeight="1" x14ac:dyDescent="0.25">
      <c r="A15" s="1" t="s">
        <v>54</v>
      </c>
      <c r="B15" s="3">
        <v>300000</v>
      </c>
      <c r="C15" s="1" t="s">
        <v>43</v>
      </c>
      <c r="D15" s="1"/>
      <c r="F15" s="36"/>
    </row>
    <row r="16" spans="1:22" ht="21" customHeight="1" x14ac:dyDescent="0.25">
      <c r="A16" s="1" t="s">
        <v>46</v>
      </c>
      <c r="B16" s="41">
        <v>0.01</v>
      </c>
      <c r="C16" s="1" t="s">
        <v>45</v>
      </c>
      <c r="D16" s="1"/>
      <c r="F16" s="36"/>
    </row>
    <row r="17" spans="1:23" x14ac:dyDescent="0.25">
      <c r="A17" s="3" t="s">
        <v>47</v>
      </c>
      <c r="B17" s="41">
        <v>0.3</v>
      </c>
      <c r="C17" s="1" t="s">
        <v>48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51</v>
      </c>
      <c r="B23" s="6">
        <v>0</v>
      </c>
      <c r="C23" s="6">
        <f>((($B$4*$B$7*$F$7)-((($B$4*$B$7*$F$7)*10%))+((($B$4*$B$9)*$F$9)+((($B$4*$B$7)*$F$9)*10%))))</f>
        <v>775345.53897065995</v>
      </c>
      <c r="D23" s="6">
        <f t="shared" ref="D23:V23" si="0">((($B$4*$B$7*$F$7)-((($B$4*$B$7*$F$7)*10%))+((($B$4*$B$9)*$F$9)+((($B$4*$B$7)*$F$9)*10%))))</f>
        <v>775345.53897065995</v>
      </c>
      <c r="E23" s="6">
        <f t="shared" si="0"/>
        <v>775345.53897065995</v>
      </c>
      <c r="F23" s="6">
        <f t="shared" si="0"/>
        <v>775345.53897065995</v>
      </c>
      <c r="G23" s="6">
        <f t="shared" si="0"/>
        <v>775345.53897065995</v>
      </c>
      <c r="H23" s="6">
        <f t="shared" si="0"/>
        <v>775345.53897065995</v>
      </c>
      <c r="I23" s="6">
        <f t="shared" si="0"/>
        <v>775345.53897065995</v>
      </c>
      <c r="J23" s="6">
        <f t="shared" si="0"/>
        <v>775345.53897065995</v>
      </c>
      <c r="K23" s="6">
        <f t="shared" si="0"/>
        <v>775345.53897065995</v>
      </c>
      <c r="L23" s="6">
        <f t="shared" si="0"/>
        <v>775345.53897065995</v>
      </c>
      <c r="M23" s="6">
        <f t="shared" si="0"/>
        <v>775345.53897065995</v>
      </c>
      <c r="N23" s="6">
        <f t="shared" si="0"/>
        <v>775345.53897065995</v>
      </c>
      <c r="O23" s="6">
        <f t="shared" si="0"/>
        <v>775345.53897065995</v>
      </c>
      <c r="P23" s="6">
        <f t="shared" si="0"/>
        <v>775345.53897065995</v>
      </c>
      <c r="Q23" s="6">
        <f t="shared" si="0"/>
        <v>775345.53897065995</v>
      </c>
      <c r="R23" s="6">
        <f t="shared" si="0"/>
        <v>775345.53897065995</v>
      </c>
      <c r="S23" s="6">
        <f t="shared" si="0"/>
        <v>775345.53897065995</v>
      </c>
      <c r="T23" s="6">
        <f t="shared" si="0"/>
        <v>775345.53897065995</v>
      </c>
      <c r="U23" s="6">
        <f t="shared" si="0"/>
        <v>775345.53897065995</v>
      </c>
      <c r="V23" s="6">
        <f t="shared" si="0"/>
        <v>775345.53897065995</v>
      </c>
      <c r="W23" s="9">
        <f>SUM(B23:V23)</f>
        <v>15506910.779413205</v>
      </c>
    </row>
    <row r="24" spans="1:23" s="4" customFormat="1" x14ac:dyDescent="0.25">
      <c r="A24" s="5" t="s">
        <v>28</v>
      </c>
      <c r="B24" s="6">
        <f>B13</f>
        <v>3368224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3368224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66</v>
      </c>
      <c r="B26" s="10">
        <f>B13</f>
        <v>3368224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50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52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59</v>
      </c>
      <c r="B29" s="44">
        <f>-B13</f>
        <v>-3368224</v>
      </c>
      <c r="C29" s="32">
        <f>C23*0.8</f>
        <v>620276.43117652799</v>
      </c>
      <c r="D29" s="32">
        <f t="shared" ref="D29:G29" si="3">D23*0.8</f>
        <v>620276.43117652799</v>
      </c>
      <c r="E29" s="32">
        <f t="shared" si="3"/>
        <v>620276.43117652799</v>
      </c>
      <c r="F29" s="32">
        <f t="shared" si="3"/>
        <v>620276.43117652799</v>
      </c>
      <c r="G29" s="32">
        <f t="shared" si="3"/>
        <v>620276.43117652799</v>
      </c>
      <c r="H29" s="32">
        <f>(H23*0.8*11/12)+(H23*0.5*1/12)</f>
        <v>600892.79270226159</v>
      </c>
      <c r="I29" s="32">
        <f>I23*0.5</f>
        <v>387672.76948532998</v>
      </c>
      <c r="J29" s="32">
        <f t="shared" ref="J29:V29" si="4">J23*0.5</f>
        <v>387672.76948532998</v>
      </c>
      <c r="K29" s="32">
        <f t="shared" si="4"/>
        <v>387672.76948532998</v>
      </c>
      <c r="L29" s="32">
        <f t="shared" si="4"/>
        <v>387672.76948532998</v>
      </c>
      <c r="M29" s="32">
        <f t="shared" si="4"/>
        <v>387672.76948532998</v>
      </c>
      <c r="N29" s="32">
        <f t="shared" si="4"/>
        <v>387672.76948532998</v>
      </c>
      <c r="O29" s="32">
        <f t="shared" si="4"/>
        <v>387672.76948532998</v>
      </c>
      <c r="P29" s="32">
        <f t="shared" si="4"/>
        <v>387672.76948532998</v>
      </c>
      <c r="Q29" s="32">
        <f t="shared" si="4"/>
        <v>387672.76948532998</v>
      </c>
      <c r="R29" s="32">
        <f t="shared" si="4"/>
        <v>387672.76948532998</v>
      </c>
      <c r="S29" s="32">
        <f t="shared" si="4"/>
        <v>387672.76948532998</v>
      </c>
      <c r="T29" s="32">
        <f t="shared" si="4"/>
        <v>387672.76948532998</v>
      </c>
      <c r="U29" s="32">
        <f t="shared" si="4"/>
        <v>387672.76948532998</v>
      </c>
      <c r="V29" s="32">
        <f t="shared" si="4"/>
        <v>387672.76948532998</v>
      </c>
      <c r="W29" s="33">
        <f>SUM(B29:V29)</f>
        <v>5761469.7213795232</v>
      </c>
    </row>
    <row r="30" spans="1:23" s="5" customFormat="1" x14ac:dyDescent="0.25">
      <c r="A30" s="5" t="s">
        <v>44</v>
      </c>
      <c r="B30" s="10">
        <v>0</v>
      </c>
      <c r="C30" s="8">
        <v>0</v>
      </c>
      <c r="D30" s="8">
        <v>0</v>
      </c>
      <c r="E30" s="42">
        <f>B24*1/100</f>
        <v>33682.239999999998</v>
      </c>
      <c r="F30" s="42">
        <f>E30*1.05</f>
        <v>35366.351999999999</v>
      </c>
      <c r="G30" s="42">
        <f t="shared" ref="G30:V30" si="5">F30*1.05</f>
        <v>37134.669600000001</v>
      </c>
      <c r="H30" s="42">
        <f t="shared" si="5"/>
        <v>38991.403080000004</v>
      </c>
      <c r="I30" s="42">
        <f t="shared" si="5"/>
        <v>40940.973234000005</v>
      </c>
      <c r="J30" s="42">
        <f t="shared" si="5"/>
        <v>42988.021895700003</v>
      </c>
      <c r="K30" s="42">
        <f t="shared" si="5"/>
        <v>45137.422990485007</v>
      </c>
      <c r="L30" s="42">
        <f t="shared" si="5"/>
        <v>47394.29414000926</v>
      </c>
      <c r="M30" s="42">
        <f t="shared" si="5"/>
        <v>49764.008847009725</v>
      </c>
      <c r="N30" s="42">
        <f t="shared" si="5"/>
        <v>52252.209289360217</v>
      </c>
      <c r="O30" s="42">
        <f t="shared" si="5"/>
        <v>54864.819753828233</v>
      </c>
      <c r="P30" s="42">
        <f t="shared" si="5"/>
        <v>57608.06074151965</v>
      </c>
      <c r="Q30" s="42">
        <f t="shared" si="5"/>
        <v>60488.463778595637</v>
      </c>
      <c r="R30" s="42">
        <f t="shared" si="5"/>
        <v>63512.886967525425</v>
      </c>
      <c r="S30" s="42">
        <f t="shared" si="5"/>
        <v>66688.531315901695</v>
      </c>
      <c r="T30" s="42">
        <f t="shared" si="5"/>
        <v>70022.957881696784</v>
      </c>
      <c r="U30" s="42">
        <f t="shared" si="5"/>
        <v>73524.105775781631</v>
      </c>
      <c r="V30" s="42">
        <f t="shared" si="5"/>
        <v>77200.31106457072</v>
      </c>
      <c r="W30" s="9">
        <f>SUM(C30:V30)</f>
        <v>947561.73235598393</v>
      </c>
    </row>
    <row r="31" spans="1:23" s="28" customFormat="1" x14ac:dyDescent="0.25">
      <c r="A31" s="28" t="s">
        <v>33</v>
      </c>
      <c r="B31" s="29"/>
      <c r="C31" s="29">
        <f>(C23-C28-C29)*0.2</f>
        <v>31013.821558826396</v>
      </c>
      <c r="D31" s="29">
        <f t="shared" ref="D31:V31" si="6">(D23-D28-D29)*0.2</f>
        <v>31013.821558826396</v>
      </c>
      <c r="E31" s="29">
        <f t="shared" si="6"/>
        <v>31013.821558826396</v>
      </c>
      <c r="F31" s="29">
        <f t="shared" si="6"/>
        <v>31013.821558826396</v>
      </c>
      <c r="G31" s="29">
        <f t="shared" si="6"/>
        <v>31013.821558826396</v>
      </c>
      <c r="H31" s="29">
        <f t="shared" si="6"/>
        <v>34890.549253679674</v>
      </c>
      <c r="I31" s="29">
        <f t="shared" si="6"/>
        <v>77534.553897065998</v>
      </c>
      <c r="J31" s="29">
        <f t="shared" si="6"/>
        <v>77534.553897065998</v>
      </c>
      <c r="K31" s="29">
        <f t="shared" si="6"/>
        <v>77534.553897065998</v>
      </c>
      <c r="L31" s="29">
        <f t="shared" si="6"/>
        <v>77534.553897065998</v>
      </c>
      <c r="M31" s="29">
        <f t="shared" si="6"/>
        <v>77534.553897065998</v>
      </c>
      <c r="N31" s="29">
        <f t="shared" si="6"/>
        <v>77534.553897065998</v>
      </c>
      <c r="O31" s="29">
        <f t="shared" si="6"/>
        <v>77534.553897065998</v>
      </c>
      <c r="P31" s="29">
        <f t="shared" si="6"/>
        <v>77534.553897065998</v>
      </c>
      <c r="Q31" s="29">
        <f t="shared" si="6"/>
        <v>77534.553897065998</v>
      </c>
      <c r="R31" s="29">
        <f t="shared" si="6"/>
        <v>77534.553897065998</v>
      </c>
      <c r="S31" s="29">
        <f t="shared" si="6"/>
        <v>77534.553897065998</v>
      </c>
      <c r="T31" s="29">
        <f t="shared" si="6"/>
        <v>77534.553897065998</v>
      </c>
      <c r="U31" s="29">
        <f t="shared" si="6"/>
        <v>77534.553897065998</v>
      </c>
      <c r="V31" s="29">
        <f t="shared" si="6"/>
        <v>77534.553897065998</v>
      </c>
      <c r="W31" s="9">
        <f>SUM(C31:V31)</f>
        <v>1275443.411606736</v>
      </c>
    </row>
    <row r="32" spans="1:23" s="5" customFormat="1" x14ac:dyDescent="0.25">
      <c r="A32" s="25" t="s">
        <v>35</v>
      </c>
      <c r="B32" s="43">
        <f>-B27</f>
        <v>0</v>
      </c>
      <c r="C32" s="26">
        <f>C23-C28-C29-C30-C31</f>
        <v>124055.28623530557</v>
      </c>
      <c r="D32" s="26">
        <f t="shared" ref="D32:E32" si="7">D23-D28-D29-D30-D31</f>
        <v>124055.28623530557</v>
      </c>
      <c r="E32" s="26">
        <f t="shared" si="7"/>
        <v>90373.046235305577</v>
      </c>
      <c r="F32" s="26">
        <f>F23-F28-F29-F30-F31</f>
        <v>88688.934235305569</v>
      </c>
      <c r="G32" s="26">
        <f t="shared" ref="G32:O32" si="8">G23-G28-G29-G30-G31</f>
        <v>86920.616635305574</v>
      </c>
      <c r="H32" s="26">
        <f t="shared" si="8"/>
        <v>100570.79393471868</v>
      </c>
      <c r="I32" s="26">
        <f t="shared" si="8"/>
        <v>269197.24235426396</v>
      </c>
      <c r="J32" s="26">
        <f t="shared" si="8"/>
        <v>267150.19369256397</v>
      </c>
      <c r="K32" s="26">
        <f t="shared" si="8"/>
        <v>265000.79259777901</v>
      </c>
      <c r="L32" s="26">
        <f t="shared" si="8"/>
        <v>262743.92144825472</v>
      </c>
      <c r="M32" s="26">
        <f t="shared" si="8"/>
        <v>260374.20674125425</v>
      </c>
      <c r="N32" s="26">
        <f t="shared" si="8"/>
        <v>257886.00629890378</v>
      </c>
      <c r="O32" s="26">
        <f t="shared" si="8"/>
        <v>255273.39583443577</v>
      </c>
      <c r="P32" s="26">
        <f>P23-P28-P29-P30-P31</f>
        <v>252530.15484674432</v>
      </c>
      <c r="Q32" s="26">
        <f t="shared" ref="Q32:V32" si="9">Q23-Q28-Q29-Q30-Q31</f>
        <v>249649.75180966838</v>
      </c>
      <c r="R32" s="26">
        <f t="shared" si="9"/>
        <v>246625.32862073858</v>
      </c>
      <c r="S32" s="26">
        <f t="shared" si="9"/>
        <v>243449.68427236233</v>
      </c>
      <c r="T32" s="26">
        <f t="shared" si="9"/>
        <v>240115.25770656724</v>
      </c>
      <c r="U32" s="26">
        <f t="shared" si="9"/>
        <v>236614.10981248238</v>
      </c>
      <c r="V32" s="26">
        <f t="shared" si="9"/>
        <v>232937.90452369326</v>
      </c>
      <c r="W32" s="9">
        <f>SUM(C32:V32)</f>
        <v>4154211.9140709583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34"/>
  <sheetViews>
    <sheetView topLeftCell="B19" zoomScale="99" zoomScaleNormal="99" workbookViewId="0">
      <selection activeCell="C31" sqref="C31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36</v>
      </c>
      <c r="D3" s="1"/>
    </row>
    <row r="4" spans="1:22" x14ac:dyDescent="0.25">
      <c r="A4" s="1" t="s">
        <v>38</v>
      </c>
      <c r="B4" s="2">
        <f>350.52*5</f>
        <v>1752.6</v>
      </c>
      <c r="C4" s="1" t="s">
        <v>72</v>
      </c>
      <c r="D4" s="1"/>
    </row>
    <row r="5" spans="1:22" x14ac:dyDescent="0.25">
      <c r="A5" s="23" t="s">
        <v>39</v>
      </c>
      <c r="B5" s="2"/>
      <c r="C5" s="1"/>
      <c r="D5" s="1"/>
    </row>
    <row r="6" spans="1:22" x14ac:dyDescent="0.25">
      <c r="A6" s="24" t="s">
        <v>40</v>
      </c>
      <c r="B6" s="2"/>
      <c r="C6" s="1"/>
      <c r="D6" s="1"/>
    </row>
    <row r="7" spans="1:22" x14ac:dyDescent="0.25">
      <c r="A7" s="3" t="s">
        <v>42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32</v>
      </c>
    </row>
    <row r="8" spans="1:22" x14ac:dyDescent="0.25">
      <c r="A8" s="24" t="s">
        <v>41</v>
      </c>
      <c r="B8" s="3"/>
      <c r="C8" s="1"/>
      <c r="D8" s="1"/>
    </row>
    <row r="9" spans="1:22" x14ac:dyDescent="0.25">
      <c r="A9" s="3" t="s">
        <v>42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32</v>
      </c>
    </row>
    <row r="10" spans="1:22" ht="22.15" customHeight="1" x14ac:dyDescent="0.25">
      <c r="A10" s="35" t="s">
        <v>56</v>
      </c>
      <c r="B10" s="3">
        <v>130000000</v>
      </c>
      <c r="C10" s="1" t="s">
        <v>32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71</v>
      </c>
      <c r="B13" s="3">
        <v>10695206</v>
      </c>
      <c r="C13" s="1" t="s">
        <v>32</v>
      </c>
      <c r="D13" s="1"/>
      <c r="F13" s="36"/>
    </row>
    <row r="14" spans="1:22" ht="26.45" customHeight="1" x14ac:dyDescent="0.25">
      <c r="A14" s="1" t="s">
        <v>57</v>
      </c>
      <c r="B14" s="3">
        <v>20000000</v>
      </c>
      <c r="C14" s="1" t="s">
        <v>32</v>
      </c>
      <c r="D14" s="1"/>
      <c r="F14" s="36"/>
    </row>
    <row r="15" spans="1:22" ht="22.9" customHeight="1" x14ac:dyDescent="0.25">
      <c r="A15" s="1" t="s">
        <v>54</v>
      </c>
      <c r="B15" s="3">
        <v>300000</v>
      </c>
      <c r="C15" s="1" t="s">
        <v>43</v>
      </c>
      <c r="D15" s="1"/>
      <c r="F15" s="36"/>
    </row>
    <row r="16" spans="1:22" ht="21" customHeight="1" x14ac:dyDescent="0.25">
      <c r="A16" s="1" t="s">
        <v>46</v>
      </c>
      <c r="B16" s="41">
        <v>0.01</v>
      </c>
      <c r="C16" s="1" t="s">
        <v>45</v>
      </c>
      <c r="D16" s="1"/>
      <c r="F16" s="36"/>
    </row>
    <row r="17" spans="1:23" x14ac:dyDescent="0.25">
      <c r="A17" s="3" t="s">
        <v>47</v>
      </c>
      <c r="B17" s="41">
        <v>0.3</v>
      </c>
      <c r="C17" s="1" t="s">
        <v>48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51</v>
      </c>
      <c r="B23" s="6">
        <v>0</v>
      </c>
      <c r="C23" s="6">
        <f>((($B$4*$B$7*$F$7)-((($B$4*$B$7*$F$7)*10%))+((($B$4*$B$9)*$F$9)+((($B$4*$B$7)*$F$9)*10%))))</f>
        <v>1949878.8801836399</v>
      </c>
      <c r="D23" s="6">
        <f t="shared" ref="D23:V23" si="0">((($B$4*$B$7*$F$7)-((($B$4*$B$7*$F$7)*10%))+((($B$4*$B$9)*$F$9)+((($B$4*$B$7)*$F$9)*10%))))</f>
        <v>1949878.8801836399</v>
      </c>
      <c r="E23" s="6">
        <f t="shared" si="0"/>
        <v>1949878.8801836399</v>
      </c>
      <c r="F23" s="6">
        <f t="shared" si="0"/>
        <v>1949878.8801836399</v>
      </c>
      <c r="G23" s="6">
        <f t="shared" si="0"/>
        <v>1949878.8801836399</v>
      </c>
      <c r="H23" s="6">
        <f t="shared" si="0"/>
        <v>1949878.8801836399</v>
      </c>
      <c r="I23" s="6">
        <f t="shared" si="0"/>
        <v>1949878.8801836399</v>
      </c>
      <c r="J23" s="6">
        <f t="shared" si="0"/>
        <v>1949878.8801836399</v>
      </c>
      <c r="K23" s="6">
        <f t="shared" si="0"/>
        <v>1949878.8801836399</v>
      </c>
      <c r="L23" s="6">
        <f t="shared" si="0"/>
        <v>1949878.8801836399</v>
      </c>
      <c r="M23" s="6">
        <f t="shared" si="0"/>
        <v>1949878.8801836399</v>
      </c>
      <c r="N23" s="6">
        <f t="shared" si="0"/>
        <v>1949878.8801836399</v>
      </c>
      <c r="O23" s="6">
        <f t="shared" si="0"/>
        <v>1949878.8801836399</v>
      </c>
      <c r="P23" s="6">
        <f t="shared" si="0"/>
        <v>1949878.8801836399</v>
      </c>
      <c r="Q23" s="6">
        <f t="shared" si="0"/>
        <v>1949878.8801836399</v>
      </c>
      <c r="R23" s="6">
        <f t="shared" si="0"/>
        <v>1949878.8801836399</v>
      </c>
      <c r="S23" s="6">
        <f t="shared" si="0"/>
        <v>1949878.8801836399</v>
      </c>
      <c r="T23" s="6">
        <f t="shared" si="0"/>
        <v>1949878.8801836399</v>
      </c>
      <c r="U23" s="6">
        <f t="shared" si="0"/>
        <v>1949878.8801836399</v>
      </c>
      <c r="V23" s="6">
        <f t="shared" si="0"/>
        <v>1949878.8801836399</v>
      </c>
      <c r="W23" s="9">
        <f>SUM(B23:V23)</f>
        <v>38997577.603672802</v>
      </c>
    </row>
    <row r="24" spans="1:23" s="4" customFormat="1" x14ac:dyDescent="0.25">
      <c r="A24" s="5" t="s">
        <v>28</v>
      </c>
      <c r="B24" s="6">
        <f>B13</f>
        <v>10695206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10695206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66</v>
      </c>
      <c r="B26" s="10">
        <f>B13</f>
        <v>10695206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50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52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59</v>
      </c>
      <c r="B29" s="44">
        <f>-B13</f>
        <v>-10695206</v>
      </c>
      <c r="C29" s="32">
        <f>C23*0.8</f>
        <v>1559903.104146912</v>
      </c>
      <c r="D29" s="32">
        <f t="shared" ref="D29:G29" si="3">D23*0.8</f>
        <v>1559903.104146912</v>
      </c>
      <c r="E29" s="32">
        <f t="shared" si="3"/>
        <v>1559903.104146912</v>
      </c>
      <c r="F29" s="32">
        <f t="shared" si="3"/>
        <v>1559903.104146912</v>
      </c>
      <c r="G29" s="32">
        <f t="shared" si="3"/>
        <v>1559903.104146912</v>
      </c>
      <c r="H29" s="32">
        <f>(H23*0.8*11/12)+(H23*0.5*1/12)</f>
        <v>1511156.1321423212</v>
      </c>
      <c r="I29" s="32">
        <f>I23*0.5</f>
        <v>974939.44009181997</v>
      </c>
      <c r="J29" s="32">
        <f t="shared" ref="J29:V29" si="4">J23*0.5</f>
        <v>974939.44009181997</v>
      </c>
      <c r="K29" s="32">
        <f t="shared" si="4"/>
        <v>974939.44009181997</v>
      </c>
      <c r="L29" s="32">
        <f t="shared" si="4"/>
        <v>974939.44009181997</v>
      </c>
      <c r="M29" s="32">
        <f t="shared" si="4"/>
        <v>974939.44009181997</v>
      </c>
      <c r="N29" s="32">
        <f t="shared" si="4"/>
        <v>974939.44009181997</v>
      </c>
      <c r="O29" s="32">
        <f t="shared" si="4"/>
        <v>974939.44009181997</v>
      </c>
      <c r="P29" s="32">
        <f t="shared" si="4"/>
        <v>974939.44009181997</v>
      </c>
      <c r="Q29" s="32">
        <f t="shared" si="4"/>
        <v>974939.44009181997</v>
      </c>
      <c r="R29" s="32">
        <f t="shared" si="4"/>
        <v>974939.44009181997</v>
      </c>
      <c r="S29" s="32">
        <f t="shared" si="4"/>
        <v>974939.44009181997</v>
      </c>
      <c r="T29" s="32">
        <f t="shared" si="4"/>
        <v>974939.44009181997</v>
      </c>
      <c r="U29" s="32">
        <f t="shared" si="4"/>
        <v>974939.44009181997</v>
      </c>
      <c r="V29" s="32">
        <f t="shared" si="4"/>
        <v>974939.44009181997</v>
      </c>
      <c r="W29" s="33">
        <f>SUM(B29:V29)</f>
        <v>12264617.814162364</v>
      </c>
    </row>
    <row r="30" spans="1:23" s="5" customFormat="1" x14ac:dyDescent="0.25">
      <c r="A30" s="5" t="s">
        <v>44</v>
      </c>
      <c r="B30" s="10">
        <v>0</v>
      </c>
      <c r="C30" s="8">
        <v>0</v>
      </c>
      <c r="D30" s="8">
        <v>0</v>
      </c>
      <c r="E30" s="42">
        <f>B24*1/100</f>
        <v>106952.06</v>
      </c>
      <c r="F30" s="42">
        <f>E30*1.05</f>
        <v>112299.663</v>
      </c>
      <c r="G30" s="42">
        <f t="shared" ref="G30:V30" si="5">F30*1.05</f>
        <v>117914.64615</v>
      </c>
      <c r="H30" s="42">
        <f t="shared" si="5"/>
        <v>123810.3784575</v>
      </c>
      <c r="I30" s="42">
        <f t="shared" si="5"/>
        <v>130000.89738037501</v>
      </c>
      <c r="J30" s="42">
        <f t="shared" si="5"/>
        <v>136500.94224939376</v>
      </c>
      <c r="K30" s="42">
        <f t="shared" si="5"/>
        <v>143325.98936186347</v>
      </c>
      <c r="L30" s="42">
        <f t="shared" si="5"/>
        <v>150492.28882995664</v>
      </c>
      <c r="M30" s="42">
        <f t="shared" si="5"/>
        <v>158016.90327145447</v>
      </c>
      <c r="N30" s="42">
        <f t="shared" si="5"/>
        <v>165917.7484350272</v>
      </c>
      <c r="O30" s="42">
        <f t="shared" si="5"/>
        <v>174213.63585677856</v>
      </c>
      <c r="P30" s="42">
        <f t="shared" si="5"/>
        <v>182924.3176496175</v>
      </c>
      <c r="Q30" s="42">
        <f t="shared" si="5"/>
        <v>192070.53353209837</v>
      </c>
      <c r="R30" s="42">
        <f t="shared" si="5"/>
        <v>201674.0602087033</v>
      </c>
      <c r="S30" s="42">
        <f t="shared" si="5"/>
        <v>211757.76321913849</v>
      </c>
      <c r="T30" s="42">
        <f t="shared" si="5"/>
        <v>222345.65138009543</v>
      </c>
      <c r="U30" s="42">
        <f t="shared" si="5"/>
        <v>233462.9339491002</v>
      </c>
      <c r="V30" s="42">
        <f t="shared" si="5"/>
        <v>245136.08064655523</v>
      </c>
      <c r="W30" s="9">
        <f>SUM(C30:V30)</f>
        <v>3008816.4935776582</v>
      </c>
    </row>
    <row r="31" spans="1:23" s="28" customFormat="1" x14ac:dyDescent="0.25">
      <c r="A31" s="28" t="s">
        <v>33</v>
      </c>
      <c r="B31" s="29"/>
      <c r="C31" s="29">
        <f>(C23-C28-C29)*0.2</f>
        <v>77995.155207345597</v>
      </c>
      <c r="D31" s="29">
        <f t="shared" ref="D31:V31" si="6">(D23-D28-D29)*0.2</f>
        <v>77995.155207345597</v>
      </c>
      <c r="E31" s="29">
        <f t="shared" si="6"/>
        <v>77995.155207345597</v>
      </c>
      <c r="F31" s="29">
        <f t="shared" si="6"/>
        <v>77995.155207345597</v>
      </c>
      <c r="G31" s="29">
        <f t="shared" si="6"/>
        <v>77995.155207345597</v>
      </c>
      <c r="H31" s="29">
        <f t="shared" si="6"/>
        <v>87744.549608263755</v>
      </c>
      <c r="I31" s="29">
        <f t="shared" si="6"/>
        <v>194987.888018364</v>
      </c>
      <c r="J31" s="29">
        <f t="shared" si="6"/>
        <v>194987.888018364</v>
      </c>
      <c r="K31" s="29">
        <f t="shared" si="6"/>
        <v>194987.888018364</v>
      </c>
      <c r="L31" s="29">
        <f t="shared" si="6"/>
        <v>194987.888018364</v>
      </c>
      <c r="M31" s="29">
        <f t="shared" si="6"/>
        <v>194987.888018364</v>
      </c>
      <c r="N31" s="29">
        <f t="shared" si="6"/>
        <v>194987.888018364</v>
      </c>
      <c r="O31" s="29">
        <f t="shared" si="6"/>
        <v>194987.888018364</v>
      </c>
      <c r="P31" s="29">
        <f t="shared" si="6"/>
        <v>194987.888018364</v>
      </c>
      <c r="Q31" s="29">
        <f t="shared" si="6"/>
        <v>194987.888018364</v>
      </c>
      <c r="R31" s="29">
        <f t="shared" si="6"/>
        <v>194987.888018364</v>
      </c>
      <c r="S31" s="29">
        <f t="shared" si="6"/>
        <v>194987.888018364</v>
      </c>
      <c r="T31" s="29">
        <f t="shared" si="6"/>
        <v>194987.888018364</v>
      </c>
      <c r="U31" s="29">
        <f t="shared" si="6"/>
        <v>194987.888018364</v>
      </c>
      <c r="V31" s="29">
        <f t="shared" si="6"/>
        <v>194987.888018364</v>
      </c>
      <c r="W31" s="9">
        <f>SUM(C31:V31)</f>
        <v>3207550.7579020886</v>
      </c>
    </row>
    <row r="32" spans="1:23" s="5" customFormat="1" x14ac:dyDescent="0.25">
      <c r="A32" s="25" t="s">
        <v>35</v>
      </c>
      <c r="B32" s="43">
        <f>-B27</f>
        <v>0</v>
      </c>
      <c r="C32" s="26">
        <f>C23-C28-C29-C30-C31</f>
        <v>311980.62082938233</v>
      </c>
      <c r="D32" s="26">
        <f t="shared" ref="D32:E32" si="7">D23-D28-D29-D30-D31</f>
        <v>311980.62082938233</v>
      </c>
      <c r="E32" s="26">
        <f t="shared" si="7"/>
        <v>205028.56082938233</v>
      </c>
      <c r="F32" s="26">
        <f>F23-F28-F29-F30-F31</f>
        <v>199680.95782938233</v>
      </c>
      <c r="G32" s="26">
        <f t="shared" ref="G32:O32" si="8">G23-G28-G29-G30-G31</f>
        <v>194065.97467938234</v>
      </c>
      <c r="H32" s="26">
        <f t="shared" si="8"/>
        <v>227167.81997555494</v>
      </c>
      <c r="I32" s="26">
        <f t="shared" si="8"/>
        <v>649950.65469308093</v>
      </c>
      <c r="J32" s="26">
        <f t="shared" si="8"/>
        <v>643450.60982406221</v>
      </c>
      <c r="K32" s="26">
        <f t="shared" si="8"/>
        <v>636625.56271159253</v>
      </c>
      <c r="L32" s="26">
        <f t="shared" si="8"/>
        <v>629459.26324349933</v>
      </c>
      <c r="M32" s="26">
        <f t="shared" si="8"/>
        <v>621934.64880200149</v>
      </c>
      <c r="N32" s="26">
        <f t="shared" si="8"/>
        <v>614033.8036384288</v>
      </c>
      <c r="O32" s="26">
        <f t="shared" si="8"/>
        <v>605737.9162166774</v>
      </c>
      <c r="P32" s="26">
        <f>P23-P28-P29-P30-P31</f>
        <v>597027.23442383844</v>
      </c>
      <c r="Q32" s="26">
        <f t="shared" ref="Q32:V32" si="9">Q23-Q28-Q29-Q30-Q31</f>
        <v>587881.0185413576</v>
      </c>
      <c r="R32" s="26">
        <f t="shared" si="9"/>
        <v>578277.49186475272</v>
      </c>
      <c r="S32" s="26">
        <f t="shared" si="9"/>
        <v>568193.78885431751</v>
      </c>
      <c r="T32" s="26">
        <f t="shared" si="9"/>
        <v>557605.9006933606</v>
      </c>
      <c r="U32" s="26">
        <f t="shared" si="9"/>
        <v>546488.61812435579</v>
      </c>
      <c r="V32" s="26">
        <f t="shared" si="9"/>
        <v>534815.47142690083</v>
      </c>
      <c r="W32" s="9">
        <f>SUM(C32:V32)</f>
        <v>9821386.5380306933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ภาพรวม</vt:lpstr>
      <vt:lpstr>มทร.เชียงใหม่</vt:lpstr>
      <vt:lpstr>มทร.เชียงราย</vt:lpstr>
      <vt:lpstr>มทร.ดอยสะเก็ด</vt:lpstr>
      <vt:lpstr>มทร.ตาก1</vt:lpstr>
      <vt:lpstr>มทร.ตาก2</vt:lpstr>
      <vt:lpstr>มทร.ตาก3</vt:lpstr>
      <vt:lpstr>มทร.น่าน</vt:lpstr>
      <vt:lpstr>มทร.พิษณุโลก</vt:lpstr>
      <vt:lpstr>มทร.ภาคพายัพ เชียงใหม่</vt:lpstr>
      <vt:lpstr>มทร.ภาคพายัพ เจ็ดยอด</vt:lpstr>
      <vt:lpstr>มทร.ลำปาง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Chitgasame RM</dc:creator>
  <cp:lastModifiedBy>Chitgasame RM</cp:lastModifiedBy>
  <cp:lastPrinted>2024-05-30T00:12:27Z</cp:lastPrinted>
  <dcterms:created xsi:type="dcterms:W3CDTF">2024-04-15T17:25:25Z</dcterms:created>
  <dcterms:modified xsi:type="dcterms:W3CDTF">2024-08-07T18:48:07Z</dcterms:modified>
</cp:coreProperties>
</file>